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00" windowHeight="12585" activeTab="1"/>
  </bookViews>
  <sheets>
    <sheet name="Species" sheetId="1" r:id="rId1"/>
    <sheet name="Rxns B" sheetId="2" r:id="rId2"/>
    <sheet name="Rxns C" sheetId="3" r:id="rId3"/>
  </sheets>
  <externalReferences>
    <externalReference r:id="rId6"/>
  </externalReferences>
  <definedNames>
    <definedName name="AtmN2">0.79054</definedName>
    <definedName name="AtmO2">20.946%</definedName>
    <definedName name="Rfac">0.0019872</definedName>
  </definedNames>
  <calcPr fullCalcOnLoad="1"/>
</workbook>
</file>

<file path=xl/sharedStrings.xml><?xml version="1.0" encoding="utf-8"?>
<sst xmlns="http://schemas.openxmlformats.org/spreadsheetml/2006/main" count="5029" uniqueCount="1887">
  <si>
    <t>OH + NO = HONO</t>
  </si>
  <si>
    <t>HONO + HV = OH + NO</t>
  </si>
  <si>
    <t>HONO-06</t>
  </si>
  <si>
    <t>OH + HONO = H2O + NO2</t>
  </si>
  <si>
    <t>OH + NO2 = HNO3</t>
  </si>
  <si>
    <t>OH + NO3 = HO2 + NO2</t>
  </si>
  <si>
    <t>OH + HNO3 = H2O + NO3</t>
  </si>
  <si>
    <t>S2</t>
  </si>
  <si>
    <t>HNO3 + HV = OH + NO2</t>
  </si>
  <si>
    <t>OH + CO = HO2 + CO2</t>
  </si>
  <si>
    <t>S1</t>
  </si>
  <si>
    <t>OH + O3 = HO2 + O2</t>
  </si>
  <si>
    <t>HO2 + NO = OH + NO2</t>
  </si>
  <si>
    <t>HO2 + NO2 = HNO4</t>
  </si>
  <si>
    <t>HNO4 = HO2 + NO2</t>
  </si>
  <si>
    <t>kEQ</t>
  </si>
  <si>
    <t>HNO4 + HV = #.61 {HO2 + NO2} + #.39 {OH + NO3}</t>
  </si>
  <si>
    <t>HNO4-06</t>
  </si>
  <si>
    <t>HNO4 + OH = H2O + NO2 + O2</t>
  </si>
  <si>
    <t>HO2 + O3 = OH + #2 O2</t>
  </si>
  <si>
    <t>HO2 + HO2 = HO2H + O2</t>
  </si>
  <si>
    <t>HO2 + HO2 + H2O = HO2H + O2 + H2O</t>
  </si>
  <si>
    <t>NO3 + HO2 = #.8 {OH + NO2 + O2} + #.2 {HNO3 + O2}</t>
  </si>
  <si>
    <t>NO3 + NO3 = #2 NO2 + O2</t>
  </si>
  <si>
    <t>HO2H + HV = #2 OH</t>
  </si>
  <si>
    <t>H2O2</t>
  </si>
  <si>
    <t>HO2H + OH = HO2 + H2O</t>
  </si>
  <si>
    <t>OH + HO2 = H2O + O2</t>
  </si>
  <si>
    <t>OH + SO2 = HO2 + SULF</t>
  </si>
  <si>
    <t>OH + H2 = HO2 + H2O</t>
  </si>
  <si>
    <t>Methyl peroxy and methoxy reactions</t>
  </si>
  <si>
    <t>BR01</t>
  </si>
  <si>
    <t>MEO2 + NO = NO2 + HCHO + HO2</t>
  </si>
  <si>
    <t>BR02</t>
  </si>
  <si>
    <t>MEO2 + HO2 = COOH + O2</t>
  </si>
  <si>
    <t>BR03</t>
  </si>
  <si>
    <t>MEO2 + HO2 = HCHO + O2 + H2O</t>
  </si>
  <si>
    <t>BR04</t>
  </si>
  <si>
    <t>MEO2 + NO3 = HCHO + HO2 + NO2</t>
  </si>
  <si>
    <t>BR05</t>
  </si>
  <si>
    <t>MEO2 + MEO2 = MEOH + HCHO + O2</t>
  </si>
  <si>
    <t>BR06</t>
  </si>
  <si>
    <t>MEO2 + MEO2 = #2 {HCHO + HO2}</t>
  </si>
  <si>
    <t>Active Peroxy Racical Operators</t>
  </si>
  <si>
    <t>BR07</t>
  </si>
  <si>
    <t>RO2C + NO = NO2</t>
  </si>
  <si>
    <t>BR08</t>
  </si>
  <si>
    <t>RO2C + HO2 =</t>
  </si>
  <si>
    <t>BR09</t>
  </si>
  <si>
    <t>RO2C + NO3 = NO2</t>
  </si>
  <si>
    <t>BR10</t>
  </si>
  <si>
    <t>RO2C + MEO2 = #.5 {RO2C + xHO2 + xHCHO + O2} + #.25 {HCHO + MEOH}</t>
  </si>
  <si>
    <t>BR11</t>
  </si>
  <si>
    <t>RO2C + RO2C =</t>
  </si>
  <si>
    <t>BR12</t>
  </si>
  <si>
    <t>RO2XC + NO = XN</t>
  </si>
  <si>
    <t>S</t>
  </si>
  <si>
    <t>BR13</t>
  </si>
  <si>
    <t>RO2XC + HO2 =</t>
  </si>
  <si>
    <t>BR14</t>
  </si>
  <si>
    <t>RO2XC + NO3 = NO2</t>
  </si>
  <si>
    <t>BR15</t>
  </si>
  <si>
    <t>RO2XC + MEO2 = #.5 {RO2C + xHO2 + xHCHO + O2} + #.25 {HCHO + MEOH}</t>
  </si>
  <si>
    <t>BR16</t>
  </si>
  <si>
    <t>RO2XC + RO2C =</t>
  </si>
  <si>
    <t>BR17</t>
  </si>
  <si>
    <t>RO2XC + RO2XC =</t>
  </si>
  <si>
    <t>Reactions of Acyl Peroxy Radicals, PAN, and PAN analogues</t>
  </si>
  <si>
    <t>BR18</t>
  </si>
  <si>
    <t>MECO3 + NO2 = PAN</t>
  </si>
  <si>
    <t>BR19</t>
  </si>
  <si>
    <t>PAN = MECO3 + NO2</t>
  </si>
  <si>
    <t>BR20</t>
  </si>
  <si>
    <t>PAN + HV = #.6 {MECO3 + NO2} + #.4 {MEO2 + CO2 + NO3}</t>
  </si>
  <si>
    <t>BR21</t>
  </si>
  <si>
    <t>MECO3 + NO = MEO2 + CO2 + NO2</t>
  </si>
  <si>
    <t>BR22</t>
  </si>
  <si>
    <t>BR23</t>
  </si>
  <si>
    <t>MECO3 + NO3 = MEO2 + CO2 + NO2 + O2</t>
  </si>
  <si>
    <t>BR24</t>
  </si>
  <si>
    <t>MECO3 + MEO2 = #.9 {CCOOH + HCHO + O2} + #.1 {HCHO + HO2 + MEO2 + CO2}</t>
  </si>
  <si>
    <t>BR25</t>
  </si>
  <si>
    <t>MECO3 + RO2C = CCOOH</t>
  </si>
  <si>
    <t>BR26</t>
  </si>
  <si>
    <t>MECO3 + RO2XC = CCOOH</t>
  </si>
  <si>
    <t>BR27</t>
  </si>
  <si>
    <t>MECO3 + MECO3 = #2 {MEO2 + CO2} + O2</t>
  </si>
  <si>
    <t>BR28</t>
  </si>
  <si>
    <t>RCO3 + NO2 = PAN2</t>
  </si>
  <si>
    <t>BR29</t>
  </si>
  <si>
    <t>PAN2 = RCO3 + NO2</t>
  </si>
  <si>
    <t>BR30</t>
  </si>
  <si>
    <t>RCO3 + NO = NO2 + RO2C + xHO2 + yROOH + xCCHO + CO2</t>
  </si>
  <si>
    <t>BR31</t>
  </si>
  <si>
    <t>BR32</t>
  </si>
  <si>
    <t>RCO3 + NO3 = NO2 + RO2C + xHO2 + yROOH + xCCHO + CO2 + O2</t>
  </si>
  <si>
    <t>BR33</t>
  </si>
  <si>
    <t>RCO3 + MEO2 = RCOOH + HCHO + O2</t>
  </si>
  <si>
    <t>BR34</t>
  </si>
  <si>
    <t>RCO3 + RO2C = RCOOH + O2</t>
  </si>
  <si>
    <t>BR35</t>
  </si>
  <si>
    <t>RCO3 + RO2XC = RCOOH + O2</t>
  </si>
  <si>
    <t>BR36</t>
  </si>
  <si>
    <t>RCO3 + MECO3 = #2 CO2 + MEO2 + RO2C + xHO2 + yROOH + xCCHO + O2</t>
  </si>
  <si>
    <t>BR37</t>
  </si>
  <si>
    <t>RCO3 + RCO3 = #2 {RO2C + xHO2 + xCCHO + yROOH + CO2}</t>
  </si>
  <si>
    <t>BR38</t>
  </si>
  <si>
    <t>BZCO3 + NO2 = PBZN</t>
  </si>
  <si>
    <t>BR39</t>
  </si>
  <si>
    <t>PBZN = BZCO3 + NO2</t>
  </si>
  <si>
    <t>BR40</t>
  </si>
  <si>
    <t>BZCO3 + NO = NO2 + CO2 + BZO + RO2C</t>
  </si>
  <si>
    <t>BR41</t>
  </si>
  <si>
    <t>BR42</t>
  </si>
  <si>
    <t>BZCO3 + NO3 = NO2 + CO2 + BZO + RO2C + O2</t>
  </si>
  <si>
    <t>BR43</t>
  </si>
  <si>
    <t>BZCO3 + MEO2 = RCOOH + HCHO + O2 + #4 XC</t>
  </si>
  <si>
    <t>BR44</t>
  </si>
  <si>
    <t>BZCO3 + RO2C = RCOOH + O2 + #4 XC</t>
  </si>
  <si>
    <t>BR45</t>
  </si>
  <si>
    <t>BZCO3 + RO2XC = RCOOH + O2 + #4 XC</t>
  </si>
  <si>
    <t>BR46</t>
  </si>
  <si>
    <t>BZCO3 + MECO3 = #2 CO2 + MEO2 + BZO + RO2C</t>
  </si>
  <si>
    <t>BR47</t>
  </si>
  <si>
    <t>BZCO3 + RCO3 = #2 CO2 + RO2C + xHO2 + yROOH + xCCHO + BZO + RO2C</t>
  </si>
  <si>
    <t>BR48</t>
  </si>
  <si>
    <t>BZCO3 + BZCO3 = #2 {BZO + RO2C + CO2}</t>
  </si>
  <si>
    <t>BR49</t>
  </si>
  <si>
    <t>MACO3 + NO2 = MAPAN</t>
  </si>
  <si>
    <t>BR50</t>
  </si>
  <si>
    <t>MAPAN = MACO3 + NO2</t>
  </si>
  <si>
    <t>BR51</t>
  </si>
  <si>
    <t>MACO3 + NO = NO2 + CO2 + HCHO + MECO3</t>
  </si>
  <si>
    <t>BR52</t>
  </si>
  <si>
    <t>BR53</t>
  </si>
  <si>
    <t>MACO3 + NO3 = NO2 + CO2 + HCHO + MECO3 + O2</t>
  </si>
  <si>
    <t>BR54</t>
  </si>
  <si>
    <t>MACO3 + MEO2 = RCOOH + HCHO + XC + O2</t>
  </si>
  <si>
    <t>BR55</t>
  </si>
  <si>
    <t>MACO3 + RO2C = RCOOH + XC</t>
  </si>
  <si>
    <t>BR56</t>
  </si>
  <si>
    <t>MACO3 + RO2XC = RCOOH + O2 + XC</t>
  </si>
  <si>
    <t>BR57</t>
  </si>
  <si>
    <t>MACO3 + MECO3 = #2 CO2 + MEO2 + HCHO + MECO3 + O2</t>
  </si>
  <si>
    <t>BR58</t>
  </si>
  <si>
    <t>MACO3 + RCO3 = HCHO + MECO3 + RO2C + xHO2 + yROOH + xCCHO + #2 CO2</t>
  </si>
  <si>
    <t>BR59</t>
  </si>
  <si>
    <t>MACO3 + BZCO3 = HCHO + MECO3 + BZO + RO2C + #2 CO2</t>
  </si>
  <si>
    <t>BR60</t>
  </si>
  <si>
    <t>MACO3 + MACO3 = #2 {HCHO + MECO3 + CO2}</t>
  </si>
  <si>
    <t>Other Organic Radical Species</t>
  </si>
  <si>
    <t>BR61</t>
  </si>
  <si>
    <t>TBUO + NO2 = RNO3 + #-2 XC</t>
  </si>
  <si>
    <t>BR62</t>
  </si>
  <si>
    <t>TBUO = ACET + MEO2</t>
  </si>
  <si>
    <t>BR63</t>
  </si>
  <si>
    <t>BZO + NO2 = NPHE</t>
  </si>
  <si>
    <t>BR64</t>
  </si>
  <si>
    <t>BZO + HO2 = CRES + #-1 XC</t>
  </si>
  <si>
    <t>BR65</t>
  </si>
  <si>
    <t>BZO = CRES + RO2C + xHO2 + #-1 XC</t>
  </si>
  <si>
    <t>Steady-State Peroxy Radical operators (for formation of inorganic and radical products)</t>
  </si>
  <si>
    <t>RO01</t>
  </si>
  <si>
    <t>xHO2 = HO2</t>
  </si>
  <si>
    <t>Q</t>
  </si>
  <si>
    <t>RO2RO</t>
  </si>
  <si>
    <t>RO02</t>
  </si>
  <si>
    <t>xHO2 =</t>
  </si>
  <si>
    <t>RO2XRO</t>
  </si>
  <si>
    <t>RO03</t>
  </si>
  <si>
    <t>xOH = OH</t>
  </si>
  <si>
    <t>RO04</t>
  </si>
  <si>
    <t>xOH =</t>
  </si>
  <si>
    <t>RO05</t>
  </si>
  <si>
    <t>xNO2 = NO2</t>
  </si>
  <si>
    <t>RO06</t>
  </si>
  <si>
    <t>xNO2 = XN</t>
  </si>
  <si>
    <t>RO07</t>
  </si>
  <si>
    <t>xMEO2 = MEO2</t>
  </si>
  <si>
    <t>RO08</t>
  </si>
  <si>
    <t>xMEO2 = XC</t>
  </si>
  <si>
    <t>RO09</t>
  </si>
  <si>
    <t>xMECO3 = MECO3</t>
  </si>
  <si>
    <t>RO10</t>
  </si>
  <si>
    <t>xMECO3 = #2 XC</t>
  </si>
  <si>
    <t>RO11</t>
  </si>
  <si>
    <t>xRCO3 = RCO3</t>
  </si>
  <si>
    <t>RO12</t>
  </si>
  <si>
    <t>xRCO3 = #3 XC</t>
  </si>
  <si>
    <t>RO13</t>
  </si>
  <si>
    <t>xMACO3 = MACO3</t>
  </si>
  <si>
    <t>RO14</t>
  </si>
  <si>
    <t>xMACO3 = #4 XC</t>
  </si>
  <si>
    <t>RO15</t>
  </si>
  <si>
    <t>xTBUO = TBUO</t>
  </si>
  <si>
    <t>RO16</t>
  </si>
  <si>
    <t>xTBUO = #4 XC</t>
  </si>
  <si>
    <t>RO17</t>
  </si>
  <si>
    <t>xCO = CO</t>
  </si>
  <si>
    <t>RO18</t>
  </si>
  <si>
    <t>xCO = XC</t>
  </si>
  <si>
    <t>R021</t>
  </si>
  <si>
    <t>xHO2 + NO = NO + HO2</t>
  </si>
  <si>
    <t>QS</t>
  </si>
  <si>
    <t>R022</t>
  </si>
  <si>
    <t>xHO2 + HO2 = HO2</t>
  </si>
  <si>
    <t>R023</t>
  </si>
  <si>
    <t>xHO2 + NO3 = NO3 + HO2</t>
  </si>
  <si>
    <t>R024</t>
  </si>
  <si>
    <t>R025</t>
  </si>
  <si>
    <t>R026</t>
  </si>
  <si>
    <t>R027</t>
  </si>
  <si>
    <t>R028</t>
  </si>
  <si>
    <t>R029</t>
  </si>
  <si>
    <t>R030</t>
  </si>
  <si>
    <t>R031</t>
  </si>
  <si>
    <t>xOH + NO = NO + OH</t>
  </si>
  <si>
    <t>R032</t>
  </si>
  <si>
    <t>xOH + HO2 = HO2</t>
  </si>
  <si>
    <t>R033</t>
  </si>
  <si>
    <t>xOH + NO3 = NO3 + OH</t>
  </si>
  <si>
    <t>R034</t>
  </si>
  <si>
    <t>R035</t>
  </si>
  <si>
    <t>R036</t>
  </si>
  <si>
    <t>R037</t>
  </si>
  <si>
    <t>R038</t>
  </si>
  <si>
    <t>R039</t>
  </si>
  <si>
    <t>R040</t>
  </si>
  <si>
    <t>R041</t>
  </si>
  <si>
    <t>xNO2 + NO = NO + NO2</t>
  </si>
  <si>
    <t>R042</t>
  </si>
  <si>
    <t>xNO2 + HO2 = HO2 + XN</t>
  </si>
  <si>
    <t>R043</t>
  </si>
  <si>
    <t>xNO2 + NO3 = NO3 + NO2</t>
  </si>
  <si>
    <t>R044</t>
  </si>
  <si>
    <t>R045</t>
  </si>
  <si>
    <t>R046</t>
  </si>
  <si>
    <t>R047</t>
  </si>
  <si>
    <t>R048</t>
  </si>
  <si>
    <t>R049</t>
  </si>
  <si>
    <t>R050</t>
  </si>
  <si>
    <t>R051</t>
  </si>
  <si>
    <t>xMEO2 + NO = NO + MEO2</t>
  </si>
  <si>
    <t>R052</t>
  </si>
  <si>
    <t>xMEO2 + HO2 = HO2 + XC</t>
  </si>
  <si>
    <t>R053</t>
  </si>
  <si>
    <t>xMEO2 + NO3 = NO3 + MEO2</t>
  </si>
  <si>
    <t>R054</t>
  </si>
  <si>
    <t>R055</t>
  </si>
  <si>
    <t>R056</t>
  </si>
  <si>
    <t>R057</t>
  </si>
  <si>
    <t>R058</t>
  </si>
  <si>
    <t>R059</t>
  </si>
  <si>
    <t>R060</t>
  </si>
  <si>
    <t>R061</t>
  </si>
  <si>
    <t>xMECO3 + NO = NO + MECO3</t>
  </si>
  <si>
    <t>R062</t>
  </si>
  <si>
    <t>xMECO3 + HO2 = HO2 + #2 XC</t>
  </si>
  <si>
    <t>R063</t>
  </si>
  <si>
    <t>xMECO3 + NO3 = NO3 + MECO3</t>
  </si>
  <si>
    <t>R064</t>
  </si>
  <si>
    <t>R065</t>
  </si>
  <si>
    <t>R066</t>
  </si>
  <si>
    <t>R067</t>
  </si>
  <si>
    <t>R068</t>
  </si>
  <si>
    <t>R069</t>
  </si>
  <si>
    <t>R070</t>
  </si>
  <si>
    <t>R071</t>
  </si>
  <si>
    <t>xRCO3 + NO = NO + RCO3</t>
  </si>
  <si>
    <t>R072</t>
  </si>
  <si>
    <t>xRCO3 + HO2 = HO2 + #3 XC</t>
  </si>
  <si>
    <t>R073</t>
  </si>
  <si>
    <t>xRCO3 + NO3 = NO3 + RCO3</t>
  </si>
  <si>
    <t>R074</t>
  </si>
  <si>
    <t>R075</t>
  </si>
  <si>
    <t>R076</t>
  </si>
  <si>
    <t>R077</t>
  </si>
  <si>
    <t>R078</t>
  </si>
  <si>
    <t>R079</t>
  </si>
  <si>
    <t>R080</t>
  </si>
  <si>
    <t>R081</t>
  </si>
  <si>
    <t>xMACO3 + NO = NO + MACO3</t>
  </si>
  <si>
    <t>R082</t>
  </si>
  <si>
    <t>xMACO3 + HO2 = HO2 + #4 XC</t>
  </si>
  <si>
    <t>R083</t>
  </si>
  <si>
    <t>xMACO3 + NO3 = NO3 + MACO3</t>
  </si>
  <si>
    <t>R084</t>
  </si>
  <si>
    <t>R085</t>
  </si>
  <si>
    <t>R086</t>
  </si>
  <si>
    <t>R087</t>
  </si>
  <si>
    <t>R088</t>
  </si>
  <si>
    <t>R089</t>
  </si>
  <si>
    <t>R090</t>
  </si>
  <si>
    <t>R091</t>
  </si>
  <si>
    <t>xTBUO + NO = NO + TBUO</t>
  </si>
  <si>
    <t>R092</t>
  </si>
  <si>
    <t>xTBUO + HO2 = HO2 + #4 XC</t>
  </si>
  <si>
    <t>R093</t>
  </si>
  <si>
    <t>xTBUO + NO3 = NO3 + TBUO</t>
  </si>
  <si>
    <t>R094</t>
  </si>
  <si>
    <t>R095</t>
  </si>
  <si>
    <t>R096</t>
  </si>
  <si>
    <t>R097</t>
  </si>
  <si>
    <t>R098</t>
  </si>
  <si>
    <t>R099</t>
  </si>
  <si>
    <t>R100</t>
  </si>
  <si>
    <t>R101</t>
  </si>
  <si>
    <t>xCO + NO = NO + CO</t>
  </si>
  <si>
    <t>R102</t>
  </si>
  <si>
    <t>xCO + HO2 = HO2 + XC</t>
  </si>
  <si>
    <t>R103</t>
  </si>
  <si>
    <t>xCO + NO3 = NO3 + CO</t>
  </si>
  <si>
    <t>R104</t>
  </si>
  <si>
    <t>R105</t>
  </si>
  <si>
    <t>R106</t>
  </si>
  <si>
    <t>R107</t>
  </si>
  <si>
    <t>R108</t>
  </si>
  <si>
    <t>Explicit and Lumped Molecule Organic Products</t>
  </si>
  <si>
    <t>BP01</t>
  </si>
  <si>
    <t>HCHO + HV = #2 HO2 + CO</t>
  </si>
  <si>
    <t>HCHOR-06</t>
  </si>
  <si>
    <t>BP02</t>
  </si>
  <si>
    <t>HCHO + HV = H2 + CO</t>
  </si>
  <si>
    <t>HCHOM-06</t>
  </si>
  <si>
    <t>BP03</t>
  </si>
  <si>
    <t>HCHO + OH = HO2 + CO + H2O</t>
  </si>
  <si>
    <t>BP07</t>
  </si>
  <si>
    <t>HCHO + NO3 = HNO3 + HO2 + CO</t>
  </si>
  <si>
    <t>BP08</t>
  </si>
  <si>
    <t>CCHO + OH = MECO3 + H2O</t>
  </si>
  <si>
    <t>BP09</t>
  </si>
  <si>
    <t>CCHO + HV = CO + HO2 + MEO2</t>
  </si>
  <si>
    <t>CCHO_R</t>
  </si>
  <si>
    <t>BP10</t>
  </si>
  <si>
    <t>CCHO + NO3 = HNO3 + MECO3</t>
  </si>
  <si>
    <t>BP11</t>
  </si>
  <si>
    <t>HOCCHO + OH = MECO3 + H2O</t>
  </si>
  <si>
    <t>BP12</t>
  </si>
  <si>
    <t>HOCCHO + HV = CO + #2 HO2 + HCHO</t>
  </si>
  <si>
    <t>BP13</t>
  </si>
  <si>
    <t>HOCCHO + NO3 = HNO3 + MECO3</t>
  </si>
  <si>
    <t>BP14</t>
  </si>
  <si>
    <t>RCHO + OH = #.965 RCO3 + #.035 {RO2C + xHO2 + xCO + xCCHO + yROOH}</t>
  </si>
  <si>
    <t>BP15</t>
  </si>
  <si>
    <t>RCHO + HV = RO2C + xHO2 + yROOH + xCCHO + CO + HO2</t>
  </si>
  <si>
    <t>C2CHO</t>
  </si>
  <si>
    <t>BP16</t>
  </si>
  <si>
    <t>RCHO + NO3 = HNO3 + RCO3</t>
  </si>
  <si>
    <t>BP17</t>
  </si>
  <si>
    <t>ACET + OH = RO2C + xMECO3 + xHCHO + yROOH</t>
  </si>
  <si>
    <t>BP18</t>
  </si>
  <si>
    <t>ACET + HV = #.62 MECO3 + #1.38 MEO2 + #.38 CO</t>
  </si>
  <si>
    <t>ACET-06</t>
  </si>
  <si>
    <t>BP19</t>
  </si>
  <si>
    <t>MEK + OH = #.967 RO2C + #.039 {RO2XC + zRNO3} + #.376 xHO2 + #.51 xMECO3 + #.074 xRCO3 + #.088 xHCHO + #.504 xCCHO + #.376 xRCHO + yROOH + #.3 XC</t>
  </si>
  <si>
    <t>BP20</t>
  </si>
  <si>
    <t>MEK + HV = MECO3 + RO2C + xHO2 + xCCHO + yROOH</t>
  </si>
  <si>
    <t>MEK-06</t>
  </si>
  <si>
    <t>BP21</t>
  </si>
  <si>
    <t>MEOH + OH = HCHO + HO2</t>
  </si>
  <si>
    <t>BP22</t>
  </si>
  <si>
    <t>HCOOH + OH = HO2 + CO2</t>
  </si>
  <si>
    <t>BP23</t>
  </si>
  <si>
    <t>BP24</t>
  </si>
  <si>
    <t>RCOOH + OH = RO2C + xHO2 + #.143 CO2 + #.142 xCCHO + #.4 xRCHO + #.457 xBACL + yROOH + #-0.455 XC</t>
  </si>
  <si>
    <t>BP25</t>
  </si>
  <si>
    <t>BP26</t>
  </si>
  <si>
    <t>COOH + HV = HCHO + HO2 + OH</t>
  </si>
  <si>
    <t>BP27</t>
  </si>
  <si>
    <t>BP28</t>
  </si>
  <si>
    <t>ROOH + HV = RCHO + HO2 + OH</t>
  </si>
  <si>
    <t>BP29</t>
  </si>
  <si>
    <t>BP30</t>
  </si>
  <si>
    <t>R6OOH + HV = OH + #.142 HO2 + #.782 RO2C + #.077 RO2XC + #.077 zRNO3 + #.085 RCHO + #.142 PROD2 + #.782 xHO2 + #.026 xCCHO + #.058 xRCHO + #.698 xPROD2 + #.858 yR6OOH + #.017 XC</t>
  </si>
  <si>
    <t>BP31</t>
  </si>
  <si>
    <t>BP32</t>
  </si>
  <si>
    <t>RAOOH + HV = OH + HO2 + #.5 {GLY + MGLY + AFG1 + AFG2} + #.5 XC</t>
  </si>
  <si>
    <t>BP33</t>
  </si>
  <si>
    <t>GLY + HV = #2 {CO + HO2}</t>
  </si>
  <si>
    <t>GLY-07R</t>
  </si>
  <si>
    <t>BP34</t>
  </si>
  <si>
    <t>GLY + HV = HCHO + CO</t>
  </si>
  <si>
    <t>GLY-07M</t>
  </si>
  <si>
    <t>BP35</t>
  </si>
  <si>
    <t>GLY + OH = #.63 HO2 + #1.26 CO + #.37 RCO3 + #-.37 XC</t>
  </si>
  <si>
    <t>BP36</t>
  </si>
  <si>
    <t>GLY + NO3 = HNO3 + #.63 HO2 + #1.26 CO + #.37 RCO3 + #-.37 XC</t>
  </si>
  <si>
    <t>BP37</t>
  </si>
  <si>
    <t>MGLY + HV = HO2 + CO + MECO3</t>
  </si>
  <si>
    <t>MGLY-06</t>
  </si>
  <si>
    <t>BP38</t>
  </si>
  <si>
    <t>MGLY + OH = CO + MECO3</t>
  </si>
  <si>
    <t>BP39</t>
  </si>
  <si>
    <t>MGLY + NO3 = HNO3 + CO + MECO3</t>
  </si>
  <si>
    <t>BP40</t>
  </si>
  <si>
    <t>BACL + HV = #2 MECO3</t>
  </si>
  <si>
    <t>BACL-07</t>
  </si>
  <si>
    <t>BP41</t>
  </si>
  <si>
    <t>CRES + OH = #.2 BZO + #.8 {RO2C + xHO2 + yR6OOH} + #.25 xMGLY + #5.05 XC</t>
  </si>
  <si>
    <t>BP42</t>
  </si>
  <si>
    <t>CRES + NO3 = HNO3 + BZO + XC</t>
  </si>
  <si>
    <t>BP43</t>
  </si>
  <si>
    <t>NPHE + OH = BZO + XN</t>
  </si>
  <si>
    <t>BP44</t>
  </si>
  <si>
    <t>NPHE + HV = HONO + #6 XC</t>
  </si>
  <si>
    <t>BP45</t>
  </si>
  <si>
    <t>NPHE + HV = #6 XC + XN</t>
  </si>
  <si>
    <t>BP46</t>
  </si>
  <si>
    <t>BALD + OH = BZCO3</t>
  </si>
  <si>
    <t>BP47</t>
  </si>
  <si>
    <t>BALD + HV = #7 XC</t>
  </si>
  <si>
    <t>BALD-06</t>
  </si>
  <si>
    <t>BP48</t>
  </si>
  <si>
    <t>BALD + NO3 = HNO3 + BZCO3</t>
  </si>
  <si>
    <t>Lumped Unsaturated Aromatic Ring-Opening Products</t>
  </si>
  <si>
    <t>BP49</t>
  </si>
  <si>
    <t>BP50</t>
  </si>
  <si>
    <t>AFG1 + O3 = #.826 OH + #.522 HO2 + #.652 RO2C + #.522 CO + #.174 CO2 + #.432 GLY + #.568 MGLY + #.652 xRCO3 + #.652 xHCHO + #.652 yR6OOH + #-.872 XC</t>
  </si>
  <si>
    <t>BP51</t>
  </si>
  <si>
    <t>AFG1 + HV = #1.023 HO2 + #.173 MEO2 + #.305 MECO3 + #.500 MACO3 + #.695 CO + #.195 GLY + #.305 MGLY + #.217 XC</t>
  </si>
  <si>
    <t>BP52</t>
  </si>
  <si>
    <t>BP53</t>
  </si>
  <si>
    <t>AFG2 + O3 = #.826 OH + #.522 HO2 + #.652 RO2C + #.522 CO + #.174 CO2 + #.432 GLY + #.568 MGLY + #.652 xRCO3 + #.652 xHCHO + #.652 yR6OOH + #-.872 XC</t>
  </si>
  <si>
    <t>BP54</t>
  </si>
  <si>
    <t>AFG2 + HV = PROD2 + #-1 XC</t>
  </si>
  <si>
    <t>BP55</t>
  </si>
  <si>
    <t>BP56</t>
  </si>
  <si>
    <t>BP57</t>
  </si>
  <si>
    <t>MACR + OH = #.5 MACO3 + #.5 {RO2C + xHO2} + #.416 xCO + #.084 xHCHO + #.416 xMEK + #.084 xMGLY + #.5 yROOH + #-0.416 XC</t>
  </si>
  <si>
    <t>BP58</t>
  </si>
  <si>
    <t>MACR + O3 = #.208 OH + #.108 HO2 + #.1 RO2C + #.45 CO + #.117 CO2 + #.1 HCHO + #.9 MGLY + #.333 HCOOH + #.1 xRCO3 + #.1 xHCHO + #.1 yROOH + #-0.1 XC</t>
  </si>
  <si>
    <t>BP59</t>
  </si>
  <si>
    <t>MACR + NO3 = #.5 {MACO3 + RO2C + HNO3 + xHO2 + xCO} + #.5 yROOH + #1.5 XC + #.5 XN</t>
  </si>
  <si>
    <t>BP60</t>
  </si>
  <si>
    <t>MACR + O3P = RCHO + XC</t>
  </si>
  <si>
    <t>BP61</t>
  </si>
  <si>
    <t>MACR + HV = #.33 OH + #.67 HO2 + #.34 MECO3 + #.33 MACO3 + #.33 RO2C + #.67 CO + #.34 HCHO + #.33 xMECO3 + #.33 xHCHO + #.33 yROOH</t>
  </si>
  <si>
    <t>MACR-06</t>
  </si>
  <si>
    <t>BP62</t>
  </si>
  <si>
    <t>BP63</t>
  </si>
  <si>
    <t>MECO3 + MEO2 = #.1 {CCOOH + HCHO + O2} + #.9 {HCHO + HO2 + MEO2 + CO2}</t>
  </si>
  <si>
    <t>MECO3 + RO2C = MEO2 + CO2</t>
  </si>
  <si>
    <t>MECO3 + RO2XC = MEO2 + CO2</t>
  </si>
  <si>
    <t>RCO3 + MEO2 = HCHO + HO2 + RO2C + xHO2 + xCCHO + yROOH + CO2</t>
  </si>
  <si>
    <t>BZCO3 + MEO2 = HCHO + HO2 + RO2C + BZO + CO2</t>
  </si>
  <si>
    <t>BZCO3 + RO2C = RO2C + BZO + CO2</t>
  </si>
  <si>
    <t>BZCO3 + RO2XC = RO2C + BZO + CO2</t>
  </si>
  <si>
    <t>MACO3 + MEO2 = #2 HCHO + HO2 + CO2 + MECO3</t>
  </si>
  <si>
    <t>MACO3 + RO2C = CO2 + HCHO + MECO3</t>
  </si>
  <si>
    <t>MACO3 + RO2XC = CO2 + HCHO + MECO3</t>
  </si>
  <si>
    <t>R019</t>
  </si>
  <si>
    <t>R020</t>
  </si>
  <si>
    <t>xHO2 + MECO3 = MECO3 + HO2</t>
  </si>
  <si>
    <t>xHO2 + RCO3 = RCO3 + HO2</t>
  </si>
  <si>
    <t>xHO2 + BZCO3 = BZCO3 + HO2</t>
  </si>
  <si>
    <t>xHO2 + MACO3 = MACO3 + HO2</t>
  </si>
  <si>
    <t>xOH + MECO3 = MECO3 + OH</t>
  </si>
  <si>
    <t>xOH + RCO3 = RCO3 + OH</t>
  </si>
  <si>
    <t>xOH + BZCO3 = BZCO3 + OH</t>
  </si>
  <si>
    <t>xOH + MACO3 = MACO3 + OH</t>
  </si>
  <si>
    <t>xNO2 + MECO3 = MECO3 + NO2</t>
  </si>
  <si>
    <t>xNO2 + RCO3 = RCO3 + NO2</t>
  </si>
  <si>
    <t>xNO2 + BZCO3 = BZCO3 + NO2</t>
  </si>
  <si>
    <t>xNO2 + MACO3 = MACO3 + NO2</t>
  </si>
  <si>
    <t>xMEO2 + MECO3 = MECO3 + MEO2</t>
  </si>
  <si>
    <t>xMEO2 + RCO3 = RCO3 + MEO2</t>
  </si>
  <si>
    <t>xMEO2 + BZCO3 = BZCO3 + MEO2</t>
  </si>
  <si>
    <t>xMEO2 + MACO3 = MACO3 + MEO2</t>
  </si>
  <si>
    <t>xMECO3 + MECO3 = MECO3 + MECO3</t>
  </si>
  <si>
    <t>xMECO3 + RCO3 = RCO3 + MECO3</t>
  </si>
  <si>
    <t>xMECO3 + BZCO3 = BZCO3 + MECO3</t>
  </si>
  <si>
    <t>xMECO3 + MACO3 = MACO3 + MECO3</t>
  </si>
  <si>
    <t>xRCO3 + MECO3 = MECO3 + RCO3</t>
  </si>
  <si>
    <t>xRCO3 + RCO3 = RCO3 + RCO3</t>
  </si>
  <si>
    <t>xRCO3 + BZCO3 = BZCO3 + RCO3</t>
  </si>
  <si>
    <t>xRCO3 + MACO3 = MACO3 + RCO3</t>
  </si>
  <si>
    <t>xMACO3 + MECO3 = MECO3 + MACO3</t>
  </si>
  <si>
    <t>xMACO3 + RCO3 = RCO3 + MACO3</t>
  </si>
  <si>
    <t>xMACO3 + BZCO3 = BZCO3 + MACO3</t>
  </si>
  <si>
    <t>xMACO3 + MACO3 = MACO3 + MACO3</t>
  </si>
  <si>
    <t>xTBUO + MECO3 = MECO3 + TBUO</t>
  </si>
  <si>
    <t>xTBUO + RCO3 = RCO3 + TBUO</t>
  </si>
  <si>
    <t>xTBUO + BZCO3 = BZCO3 + TBUO</t>
  </si>
  <si>
    <t>xTBUO + MACO3 = MACO3 + TBUO</t>
  </si>
  <si>
    <t>xCO + MECO3 = MECO3 + CO</t>
  </si>
  <si>
    <t>xCO + RCO3 = RCO3 + CO</t>
  </si>
  <si>
    <t>xCO + BZCO3 = BZCO3 + CO</t>
  </si>
  <si>
    <t>xCO + MACO3 = MACO3 + CO</t>
  </si>
  <si>
    <t>CCOOH + OH = #.509 MEO2 + #.491 RO2C + #.509 CO2 + #.491 xHO2 + #.491 xMGLY + #.491 yROOH + #-0.491 XC</t>
  </si>
  <si>
    <t>xHCHO + MECO3 = MECO3 + HCHO</t>
  </si>
  <si>
    <t>xHCHO + RCO3 = RCO3 + HCHO</t>
  </si>
  <si>
    <t>xHCHO + BZCO3 = BZCO3 + HCHO</t>
  </si>
  <si>
    <t>xHCHO + MACO3 = MACO3 + HCHO</t>
  </si>
  <si>
    <t>xCCHO + MECO3 = MECO3 + CCHO</t>
  </si>
  <si>
    <t>xCCHO + RCO3 = RCO3 + CCHO</t>
  </si>
  <si>
    <t>xCCHO + BZCO3 = BZCO3 + CCHO</t>
  </si>
  <si>
    <t>xCCHO + MACO3 = MACO3 + CCHO</t>
  </si>
  <si>
    <t>xRCHO + MECO3 = MECO3 + RCHO</t>
  </si>
  <si>
    <t>xRCHO + RCO3 = RCO3 + RCHO</t>
  </si>
  <si>
    <t>xRCHO + BZCO3 = BZCO3 + RCHO</t>
  </si>
  <si>
    <t>xRCHO + MACO3 = MACO3 + RCHO</t>
  </si>
  <si>
    <t>xACET + MECO3 = MECO3 + ACET</t>
  </si>
  <si>
    <t>xACET + RCO3 = RCO3 + ACET</t>
  </si>
  <si>
    <t>xACET + BZCO3 = BZCO3 + ACET</t>
  </si>
  <si>
    <t>xACET + MACO3 = MACO3 + ACET</t>
  </si>
  <si>
    <t>xMEK + MECO3 = MECO3 + MEK</t>
  </si>
  <si>
    <t>xMEK + RCO3 = RCO3 + MEK</t>
  </si>
  <si>
    <t>xMEK + BZCO3 = BZCO3 + MEK</t>
  </si>
  <si>
    <t>xMEK + MACO3 = MACO3 + MEK</t>
  </si>
  <si>
    <t>xPROD2 + MECO3 = MECO3 + PROD2</t>
  </si>
  <si>
    <t>xPROD2 + RCO3 = RCO3 + PROD2</t>
  </si>
  <si>
    <t>xPROD2 + BZCO3 = BZCO3 + PROD2</t>
  </si>
  <si>
    <t>xPROD2 + MACO3 = MACO3 + PROD2</t>
  </si>
  <si>
    <t>xGLY + MECO3 = MECO3 + GLY</t>
  </si>
  <si>
    <t>xGLY + RCO3 = RCO3 + GLY</t>
  </si>
  <si>
    <t>xGLY + BZCO3 = BZCO3 + GLY</t>
  </si>
  <si>
    <t>xGLY + MACO3 = MACO3 + GLY</t>
  </si>
  <si>
    <t>xMGLY + MECO3 = MECO3 + MGLY</t>
  </si>
  <si>
    <t>xMGLY + RCO3 = RCO3 + MGLY</t>
  </si>
  <si>
    <t>xMGLY + BZCO3 = BZCO3 + MGLY</t>
  </si>
  <si>
    <t>xMGLY + MACO3 = MACO3 + MGLY</t>
  </si>
  <si>
    <t>xBACL + MECO3 = MECO3 + BACL</t>
  </si>
  <si>
    <t>xBACL + RCO3 = RCO3 + BACL</t>
  </si>
  <si>
    <t>xBACL + BZCO3 = BZCO3 + BACL</t>
  </si>
  <si>
    <t>xBACL + MACO3 = MACO3 + BACL</t>
  </si>
  <si>
    <t>xBALD + MECO3 = MECO3 + BALD</t>
  </si>
  <si>
    <t>xBALD + RCO3 = RCO3 + BALD</t>
  </si>
  <si>
    <t>xBALD + BZCO3 = BZCO3 + BALD</t>
  </si>
  <si>
    <t>xBALD + MACO3 = MACO3 + BALD</t>
  </si>
  <si>
    <t>xAFG1 + MECO3 = MECO3 + AFG1</t>
  </si>
  <si>
    <t>xAFG1 + RCO3 = RCO3 + AFG1</t>
  </si>
  <si>
    <t>xAFG1 + BZCO3 = BZCO3 + AFG1</t>
  </si>
  <si>
    <t>xAFG1 + MACO3 = MACO3 + AFG1</t>
  </si>
  <si>
    <t>xAFG2 + MECO3 = MECO3 + AFG2</t>
  </si>
  <si>
    <t>xAFG2 + RCO3 = RCO3 + AFG2</t>
  </si>
  <si>
    <t>xAFG2 + BZCO3 = BZCO3 + AFG2</t>
  </si>
  <si>
    <t>xAFG2 + MACO3 = MACO3 + AFG2</t>
  </si>
  <si>
    <t>xAFG3 + MECO3 = MECO3 + AFG3</t>
  </si>
  <si>
    <t>xAFG3 + RCO3 = RCO3 + AFG3</t>
  </si>
  <si>
    <t>xAFG3 + BZCO3 = BZCO3 + AFG3</t>
  </si>
  <si>
    <t>xAFG3 + MACO3 = MACO3 + AFG3</t>
  </si>
  <si>
    <t>xMACR + MECO3 = MECO3 + MACR</t>
  </si>
  <si>
    <t>xMACR + RCO3 = RCO3 + MACR</t>
  </si>
  <si>
    <t>xMACR + BZCO3 = BZCO3 + MACR</t>
  </si>
  <si>
    <t>xMACR + MACO3 = MACO3 + MACR</t>
  </si>
  <si>
    <t>xMVK + MECO3 = MECO3 + MVK</t>
  </si>
  <si>
    <t>xMVK + RCO3 = RCO3 + MVK</t>
  </si>
  <si>
    <t>xMVK + BZCO3 = BZCO3 + MVK</t>
  </si>
  <si>
    <t>xMVK + MACO3 = MACO3 + MVK</t>
  </si>
  <si>
    <t>xIPRD + MECO3 = MECO3 + IPRD</t>
  </si>
  <si>
    <t>xIPRD + RCO3 = RCO3 + IPRD</t>
  </si>
  <si>
    <t>xIPRD + BZCO3 = BZCO3 + IPRD</t>
  </si>
  <si>
    <t>xIPRD + MACO3 = MACO3 + IPRD</t>
  </si>
  <si>
    <t>xRNO3 + MECO3 = MECO3 + RNO3</t>
  </si>
  <si>
    <t>xRNO3 + RCO3 = RCO3 + RNO3</t>
  </si>
  <si>
    <t>xRNO3 + BZCO3 = BZCO3 + RNO3</t>
  </si>
  <si>
    <t>xRNO3 + MACO3 = MACO3 + RNO3</t>
  </si>
  <si>
    <t>yROOH + MECO3 = MECO3</t>
  </si>
  <si>
    <t>yROOH + RCO3 = RCO3</t>
  </si>
  <si>
    <t>yROOH + BZCO3 = BZCO3</t>
  </si>
  <si>
    <t>yROOH + MACO3 = MACO3</t>
  </si>
  <si>
    <t>yR6OOH + MECO3 = MECO3</t>
  </si>
  <si>
    <t>yR6OOH + RCO3 = RCO3</t>
  </si>
  <si>
    <t>yR6OOH + BZCO3 = BZCO3</t>
  </si>
  <si>
    <t>yR6OOH + MACO3 = MACO3</t>
  </si>
  <si>
    <t>yRAOOH + MECO3 = MECO3</t>
  </si>
  <si>
    <t>yRAOOH + RCO3 = RCO3</t>
  </si>
  <si>
    <t>yRAOOH + BZCO3 = BZCO3</t>
  </si>
  <si>
    <t>yRAOOH + MACO3 = MACO3</t>
  </si>
  <si>
    <t>zRNO3 + MECO3 = MECO3 + PROD2 + HO2</t>
  </si>
  <si>
    <t>zRNO3 + RCO3 = RCO3 + PROD2 + HO2</t>
  </si>
  <si>
    <t>zRNO3 + BZCO3 = BZCO3 + PROD2 + HO2</t>
  </si>
  <si>
    <t>zRNO3 + MACO3 = MACO3 + PROD2 + HO2</t>
  </si>
  <si>
    <t>xHOCCHO + MECO3 = MECO3 + HOCCHO</t>
  </si>
  <si>
    <t>xHOCCHO + RCO3 = RCO3 + HOCCHO</t>
  </si>
  <si>
    <t>xHOCCHO + BZCO3 = BZCO3 + HOCCHO</t>
  </si>
  <si>
    <t>xHOCCHO + MACO3 = MACO3 + HOCCHO</t>
  </si>
  <si>
    <t>xACRO + MECO3 = MECO3 + ACRO</t>
  </si>
  <si>
    <t>xACRO + RCO3 = RCO3 + ACRO</t>
  </si>
  <si>
    <t>xACRO + BZCO3 = BZCO3 + ACRO</t>
  </si>
  <si>
    <t>xACRO + MACO3 = MACO3 + ACRO</t>
  </si>
  <si>
    <t>BT01</t>
  </si>
  <si>
    <t>BT02</t>
  </si>
  <si>
    <t>BT03</t>
  </si>
  <si>
    <t>BT04</t>
  </si>
  <si>
    <t>BT05</t>
  </si>
  <si>
    <t>BT06</t>
  </si>
  <si>
    <t>BT07</t>
  </si>
  <si>
    <t>BT08</t>
  </si>
  <si>
    <t>BT09</t>
  </si>
  <si>
    <t>BT10</t>
  </si>
  <si>
    <t>BT11</t>
  </si>
  <si>
    <t>BT12</t>
  </si>
  <si>
    <t>BT13</t>
  </si>
  <si>
    <t>BT14</t>
  </si>
  <si>
    <t>BT15</t>
  </si>
  <si>
    <t>BT16</t>
  </si>
  <si>
    <t>BT17</t>
  </si>
  <si>
    <t>BT18</t>
  </si>
  <si>
    <t>BT19</t>
  </si>
  <si>
    <t>BT20</t>
  </si>
  <si>
    <t>BT21</t>
  </si>
  <si>
    <t>BT22</t>
  </si>
  <si>
    <t>TP01</t>
  </si>
  <si>
    <t>xCL + MECO3 = MECO3 + CL</t>
  </si>
  <si>
    <t>xCL + RCO3 = RCO3 + CL</t>
  </si>
  <si>
    <t>xCL + BZCO3 = BZCO3 + CL</t>
  </si>
  <si>
    <t>xCL + MACO3 = MACO3 + CL</t>
  </si>
  <si>
    <t>xCLCCHO + MECO3 = MECO3 + CLCCHO</t>
  </si>
  <si>
    <t>xCLCCHO + RCO3 = RCO3 + CLCCHO</t>
  </si>
  <si>
    <t>xCLCCHO + BZCO3 = BZCO3 + CLCCHO</t>
  </si>
  <si>
    <t>xCLCCHO + MACO3 = MACO3 + CLCCHO</t>
  </si>
  <si>
    <t>xCLACET + MECO3 = MECO3 + CLACET</t>
  </si>
  <si>
    <t>xCLACET + RCO3 = RCO3 + CLACET</t>
  </si>
  <si>
    <t>xCLACET + BZCO3 = BZCO3 + CLACET</t>
  </si>
  <si>
    <t>xCLACET + MACO3 = MACO3 + CLACET</t>
  </si>
  <si>
    <t>TE01</t>
  </si>
  <si>
    <t>TE02</t>
  </si>
  <si>
    <t>TE03</t>
  </si>
  <si>
    <t>TE04</t>
  </si>
  <si>
    <t>TE05</t>
  </si>
  <si>
    <t>TE06</t>
  </si>
  <si>
    <t>TE07</t>
  </si>
  <si>
    <t>TE08</t>
  </si>
  <si>
    <t>TE09</t>
  </si>
  <si>
    <t>BC01</t>
  </si>
  <si>
    <t>BC02</t>
  </si>
  <si>
    <t>BC03</t>
  </si>
  <si>
    <t>BC04</t>
  </si>
  <si>
    <t>BC05</t>
  </si>
  <si>
    <t>BC06</t>
  </si>
  <si>
    <t>BC07</t>
  </si>
  <si>
    <t>BC08</t>
  </si>
  <si>
    <t>BC09</t>
  </si>
  <si>
    <t>BC10</t>
  </si>
  <si>
    <t>BC11</t>
  </si>
  <si>
    <t>MVK + O3 = #.164 OH + #.064 HO2 + #.05 {RO2C + xHO2} + #.475 CO + #.124 CO2 + #.05 HCHO + #.95 MGLY + #.351 HCOOH + #.05 xRCO3 + #.05 xHCHO + #.05 yROOH + #-0.05 XC</t>
  </si>
  <si>
    <t>BP64</t>
  </si>
  <si>
    <t>MVK + NO3 = #4 XC + XN</t>
  </si>
  <si>
    <t>X</t>
  </si>
  <si>
    <t>BP65</t>
  </si>
  <si>
    <t>MVK + O3P = #.45 RCHO + #.55 MEK + #.45 XC</t>
  </si>
  <si>
    <t>BP66</t>
  </si>
  <si>
    <t>MVK + HV = #.4 MEO2 + #.6 CO + #.6 PROD2 + #.4 MACO3 + #-2.2 XC</t>
  </si>
  <si>
    <t>MVK-06</t>
  </si>
  <si>
    <t>BP67</t>
  </si>
  <si>
    <t>IPRD + OH = #.289 MACO3 + #.67 {RO2C + xHO2} + #.041 {RO2XC + zRNO3} + #.336 xCO + #.055 xHCHO + #.129 xHOCCHO + #.013 xRCHO + #.15 xMEK + #.332 xPROD2 + #.15 xGLY + #.174 xMGLY + #-0.504 XC + #.711 yR6OOH</t>
  </si>
  <si>
    <t>BP68</t>
  </si>
  <si>
    <t>IPRD + O3 = #.285 OH + #.4 HO2 + #.048 {RO2C + xRCO3} + #.498 CO + #.14 CO2 + #.124 HCHO + #.21 MEK + #.023 GLY + #.742 MGLY + #.1 HCOOH + #.372 RCOOH + #.047 xHOCCHO + #.001 xHCHO + #.048 yR6OOH + #-.329 XC</t>
  </si>
  <si>
    <t>BP69</t>
  </si>
  <si>
    <t>IPRD + NO3 = #.15 {MACO3 + HNO3} + #.799 {RO2C + xHO2} + #.051 {RO2XC + zRNO3} + #.572 xCO + #.227 xHCHO + #.218 xRCHO + #.008 xMGLY + #.572 xRNO3 + #.85 yR6OOH + #.278 XN + #-.815 XC</t>
  </si>
  <si>
    <t>BP70</t>
  </si>
  <si>
    <t>IPRD + HV = #1.233 HO2 + #.467 MECO3 + #.3 RCO3 + #1.233 CO + #.3 HCHO + #.467 HOCCHO + #.233 MEK + #-.233 XC</t>
  </si>
  <si>
    <t>Lumped Parameter Organic Products</t>
  </si>
  <si>
    <t>BP71</t>
  </si>
  <si>
    <t>PROD2 + OH = #.472 HO2 + #.379 xHO2 + #.029 xMECO3 + #.049 xRCO3 + #.473 RO2C + #.071 RO2XC + #.071 zRNO3 + #.002 HCHO + #.211 xHCHO + #.001 CCHO + #.083 xCCHO + #.143 RCHO + #.402 xRCHO + #.115 xMEK + #.329 PROD2 + #.007 xPROD2 + #.528 yR6OOH + #.877 XC</t>
  </si>
  <si>
    <t>BP72</t>
  </si>
  <si>
    <t>PROD2 + HV = #.913 xHO2 + #.4 MECO3 + #.6 RCO3 + #1.59 RO2C + #.087 RO2XC + #.087 zRNO3 + #.303 xHCHO + #.163 xCCHO + #.78 xRCHO + yR6OOH + #-.091 XC</t>
  </si>
  <si>
    <t>BP73</t>
  </si>
  <si>
    <t>RNO3 + OH = #.189 HO2 + #.305 xHO2 + #.019 NO2 + #.313 xNO2 + #.976 RO2C + #.175 RO2XC + #.175 zRNO3 + #.011 xHCHO + #.429 xCCHO + #.001 RCHO + #.036 xRCHO + #.004 xACET + #.01 MEK + #.17 xMEK + #.008 PROD2 + #.031 xPROD2 + #.189 RNO3 + #.305 xRNO3 + #.157 yROOH + #.636 yR6OOH + #.174 XN + #.04 XC</t>
  </si>
  <si>
    <t>BP74</t>
  </si>
  <si>
    <t>RNO3 + HV = #.344 HO2 + #.554 xHO2 + NO2 + #.721 RO2C + #.102 RO2XC + #.102 zRNO3 + #.074 HCHO + #.061 xHCHO + #.214 CCHO + #.23 xCCHO + #.074 RCHO + #.063 xRCHO + #.008 xACET + #.124 MEK + #.083 xMEK + #.19 PROD2 + #.261 xPROD2 + #.066 yROOH + #.591 yR6OOH + #.396 XC</t>
  </si>
  <si>
    <t>IC3ONO2</t>
  </si>
  <si>
    <t>Steady-State Peroxy Radical operators (for formation of organic product species)</t>
  </si>
  <si>
    <t>PO01</t>
  </si>
  <si>
    <t>xHCHO = HCHO</t>
  </si>
  <si>
    <t>PO02</t>
  </si>
  <si>
    <t>xHCHO = XC</t>
  </si>
  <si>
    <t>PO03</t>
  </si>
  <si>
    <t>xCCHO = CCHO</t>
  </si>
  <si>
    <t>PO04</t>
  </si>
  <si>
    <t>xCCHO = #2 XC</t>
  </si>
  <si>
    <t>PO05</t>
  </si>
  <si>
    <t>xRCHO = RCHO</t>
  </si>
  <si>
    <t>PO06</t>
  </si>
  <si>
    <t>xRCHO = #3 XC</t>
  </si>
  <si>
    <t>PO07</t>
  </si>
  <si>
    <t>xHOCCHO = HOCCHO</t>
  </si>
  <si>
    <t>PO08</t>
  </si>
  <si>
    <t>xHOCCHO = #2 XC</t>
  </si>
  <si>
    <t>PO09</t>
  </si>
  <si>
    <t>xACET = ACET</t>
  </si>
  <si>
    <t>PO10</t>
  </si>
  <si>
    <t>xACET = #3 XC</t>
  </si>
  <si>
    <t>PO11</t>
  </si>
  <si>
    <t>xMEK = MEK</t>
  </si>
  <si>
    <t>PO12</t>
  </si>
  <si>
    <t>xMEK = #4 XC</t>
  </si>
  <si>
    <t>PO13</t>
  </si>
  <si>
    <t>xPROD2 = PROD2</t>
  </si>
  <si>
    <t>PO14</t>
  </si>
  <si>
    <t>xPROD2 = #6 XC</t>
  </si>
  <si>
    <t>PO15</t>
  </si>
  <si>
    <t>xGLY = GLY</t>
  </si>
  <si>
    <t>PO16</t>
  </si>
  <si>
    <t>xGLY = #2 XC</t>
  </si>
  <si>
    <t>PO17</t>
  </si>
  <si>
    <t>xMGLY = MGLY</t>
  </si>
  <si>
    <t>PO18</t>
  </si>
  <si>
    <t>xMGLY = #3 XC</t>
  </si>
  <si>
    <t>PO19</t>
  </si>
  <si>
    <t>xBACL = BACL</t>
  </si>
  <si>
    <t>PO20</t>
  </si>
  <si>
    <t>xBACL = #4 XC</t>
  </si>
  <si>
    <t>PO21</t>
  </si>
  <si>
    <t>xBALD = BALD</t>
  </si>
  <si>
    <t>PO22</t>
  </si>
  <si>
    <t>xBALD = #7 XC</t>
  </si>
  <si>
    <t>PO23</t>
  </si>
  <si>
    <t>xAFG1 = AFG1</t>
  </si>
  <si>
    <t>PO24</t>
  </si>
  <si>
    <t>xAFG1 = #5 XC</t>
  </si>
  <si>
    <t>PO25</t>
  </si>
  <si>
    <t>xAFG2 = AFG2</t>
  </si>
  <si>
    <t>PO26</t>
  </si>
  <si>
    <t>xAFG2 = #5 XC</t>
  </si>
  <si>
    <t>PO27</t>
  </si>
  <si>
    <t>xAFG3 = AFG3</t>
  </si>
  <si>
    <t>PO28</t>
  </si>
  <si>
    <t>xAFG3 = #7 XC</t>
  </si>
  <si>
    <t>PO29</t>
  </si>
  <si>
    <t>xMACR = MACR</t>
  </si>
  <si>
    <t>PO30</t>
  </si>
  <si>
    <t>xMACR = #4 XC</t>
  </si>
  <si>
    <t>PO31</t>
  </si>
  <si>
    <t>xMVK = MVK</t>
  </si>
  <si>
    <t>PO32</t>
  </si>
  <si>
    <t>xMVK = #4 XC</t>
  </si>
  <si>
    <t>PO33</t>
  </si>
  <si>
    <t>xIPRD = IPRD</t>
  </si>
  <si>
    <t>PO34</t>
  </si>
  <si>
    <t>xIPRD = #5 XC</t>
  </si>
  <si>
    <t>PO35</t>
  </si>
  <si>
    <t>xRNO3 = RNO3</t>
  </si>
  <si>
    <t>PO36</t>
  </si>
  <si>
    <t>xRNO3 = #6 XC + XN</t>
  </si>
  <si>
    <t>PO37</t>
  </si>
  <si>
    <t>PO38</t>
  </si>
  <si>
    <t>PO39</t>
  </si>
  <si>
    <t>PO40</t>
  </si>
  <si>
    <t>PO41</t>
  </si>
  <si>
    <t>PO42</t>
  </si>
  <si>
    <t>PO43</t>
  </si>
  <si>
    <t>zRNO3 = RNO3 + #-1 XN</t>
  </si>
  <si>
    <t>RO2NO</t>
  </si>
  <si>
    <t>PO44</t>
  </si>
  <si>
    <t>zRNO3 = PROD2 + HO2</t>
  </si>
  <si>
    <t>RO22NN</t>
  </si>
  <si>
    <t>PO45</t>
  </si>
  <si>
    <t>zRNO3 = #6 XC</t>
  </si>
  <si>
    <t>PO46</t>
  </si>
  <si>
    <t>yROOH = ROOH + #-3 XC</t>
  </si>
  <si>
    <t>RO2HO2</t>
  </si>
  <si>
    <t>PO47</t>
  </si>
  <si>
    <t>yROOH = MEK + #-4 XC</t>
  </si>
  <si>
    <t>RO2RO2M</t>
  </si>
  <si>
    <t>PO48</t>
  </si>
  <si>
    <t>yROOH =</t>
  </si>
  <si>
    <t>PO49</t>
  </si>
  <si>
    <t>yR6OOH = R6OOH + #-6 XC</t>
  </si>
  <si>
    <t>PO50</t>
  </si>
  <si>
    <t>yR6OOH = PROD2 + #-6 XC</t>
  </si>
  <si>
    <t>yR6OOH =</t>
  </si>
  <si>
    <t>yRAOOH = RAOOH + #-8 XC</t>
  </si>
  <si>
    <t>yRAOOH = PROD2 + #-6 XC</t>
  </si>
  <si>
    <t>yRAOOH =</t>
  </si>
  <si>
    <t>P055</t>
  </si>
  <si>
    <t>xHCHO + NO = NO + HCHO</t>
  </si>
  <si>
    <t>P056</t>
  </si>
  <si>
    <t>xHCHO + HO2 = HO2 + XC</t>
  </si>
  <si>
    <t>P057</t>
  </si>
  <si>
    <t>xHCHO + NO3 = NO3 + HCHO</t>
  </si>
  <si>
    <t>P058</t>
  </si>
  <si>
    <t>P059</t>
  </si>
  <si>
    <t>P060</t>
  </si>
  <si>
    <t>P061</t>
  </si>
  <si>
    <t>P062</t>
  </si>
  <si>
    <t>P063</t>
  </si>
  <si>
    <t>P064</t>
  </si>
  <si>
    <t>P065</t>
  </si>
  <si>
    <t>xCCHO + NO = NO + CCHO</t>
  </si>
  <si>
    <t>P066</t>
  </si>
  <si>
    <t>xCCHO + HO2 = HO2 + #2 XC</t>
  </si>
  <si>
    <t>P067</t>
  </si>
  <si>
    <t>xCCHO + NO3 = NO3 + CCHO</t>
  </si>
  <si>
    <t>P068</t>
  </si>
  <si>
    <t>P069</t>
  </si>
  <si>
    <t>P070</t>
  </si>
  <si>
    <t>P071</t>
  </si>
  <si>
    <t>P072</t>
  </si>
  <si>
    <t>P073</t>
  </si>
  <si>
    <t>P074</t>
  </si>
  <si>
    <t>P075</t>
  </si>
  <si>
    <t>xRCHO + NO = NO + RCHO</t>
  </si>
  <si>
    <t>P076</t>
  </si>
  <si>
    <t>xRCHO + HO2 = HO2 + #3 XC</t>
  </si>
  <si>
    <t>P077</t>
  </si>
  <si>
    <t>xRCHO + NO3 = NO3 + RCHO</t>
  </si>
  <si>
    <t>P078</t>
  </si>
  <si>
    <t>P079</t>
  </si>
  <si>
    <t>P080</t>
  </si>
  <si>
    <t>P081</t>
  </si>
  <si>
    <t>P082</t>
  </si>
  <si>
    <t>P083</t>
  </si>
  <si>
    <t>P084</t>
  </si>
  <si>
    <t>P085</t>
  </si>
  <si>
    <t>xHOCCHO + NO = NO + HOCCHO</t>
  </si>
  <si>
    <t>P086</t>
  </si>
  <si>
    <t>xHOCCHO + HO2 = HO2 + #2 XC</t>
  </si>
  <si>
    <t>P087</t>
  </si>
  <si>
    <t>xHOCCHO + NO3 = NO3 + HOCCHO</t>
  </si>
  <si>
    <t>P088</t>
  </si>
  <si>
    <t>P089</t>
  </si>
  <si>
    <t>P090</t>
  </si>
  <si>
    <t>P091</t>
  </si>
  <si>
    <t>P092</t>
  </si>
  <si>
    <t>P093</t>
  </si>
  <si>
    <t>P094</t>
  </si>
  <si>
    <t>P095</t>
  </si>
  <si>
    <t>xACET + NO = NO + ACET</t>
  </si>
  <si>
    <t>P096</t>
  </si>
  <si>
    <t>xACET + HO2 = HO2 + #3 XC</t>
  </si>
  <si>
    <t>P097</t>
  </si>
  <si>
    <t>xACET + NO3 = NO3 + ACET</t>
  </si>
  <si>
    <t>P098</t>
  </si>
  <si>
    <t>P099</t>
  </si>
  <si>
    <t>P100</t>
  </si>
  <si>
    <t>P101</t>
  </si>
  <si>
    <t>P102</t>
  </si>
  <si>
    <t>P103</t>
  </si>
  <si>
    <t>P104</t>
  </si>
  <si>
    <t>P105</t>
  </si>
  <si>
    <t>xMEK + NO = NO + MEK</t>
  </si>
  <si>
    <t>P106</t>
  </si>
  <si>
    <t>xMEK + HO2 = HO2 + #4 XC</t>
  </si>
  <si>
    <t>P107</t>
  </si>
  <si>
    <t>xMEK + NO3 = NO3 + MEK</t>
  </si>
  <si>
    <t>P108</t>
  </si>
  <si>
    <t>P109</t>
  </si>
  <si>
    <t>ETHE</t>
  </si>
  <si>
    <t>PRPE</t>
  </si>
  <si>
    <t>13BDE</t>
  </si>
  <si>
    <t>ISOP</t>
  </si>
  <si>
    <t>APIN</t>
  </si>
  <si>
    <t>BENZ</t>
  </si>
  <si>
    <t>TOLU</t>
  </si>
  <si>
    <t>OXYL</t>
  </si>
  <si>
    <t>MXYL</t>
  </si>
  <si>
    <t>PXYL</t>
  </si>
  <si>
    <t>B124</t>
  </si>
  <si>
    <t>ACYE</t>
  </si>
  <si>
    <t>PRD2</t>
  </si>
  <si>
    <t>FACD</t>
  </si>
  <si>
    <t>AACD</t>
  </si>
  <si>
    <t>PACD</t>
  </si>
  <si>
    <t>ACRO</t>
  </si>
  <si>
    <t>Emit ID</t>
  </si>
  <si>
    <t>SAPRC07T (B)</t>
  </si>
  <si>
    <t>SAPRC07T (C)</t>
  </si>
  <si>
    <t>P110</t>
  </si>
  <si>
    <t>P111</t>
  </si>
  <si>
    <t>P112</t>
  </si>
  <si>
    <t>P113</t>
  </si>
  <si>
    <t>P114</t>
  </si>
  <si>
    <t>P115</t>
  </si>
  <si>
    <t>xPROD2 + NO = NO + PROD2</t>
  </si>
  <si>
    <t>P116</t>
  </si>
  <si>
    <t>xPROD2 + HO2 = HO2 + #6 XC</t>
  </si>
  <si>
    <t>P117</t>
  </si>
  <si>
    <t>xPROD2 + NO3 = NO3 + PROD2</t>
  </si>
  <si>
    <t>P118</t>
  </si>
  <si>
    <t>P119</t>
  </si>
  <si>
    <t>P120</t>
  </si>
  <si>
    <t>P121</t>
  </si>
  <si>
    <t>P122</t>
  </si>
  <si>
    <t>P123</t>
  </si>
  <si>
    <t>P124</t>
  </si>
  <si>
    <t>P125</t>
  </si>
  <si>
    <t>xGLY + NO = NO + GLY</t>
  </si>
  <si>
    <t>P126</t>
  </si>
  <si>
    <t>xGLY + HO2 = HO2 + #2 XC</t>
  </si>
  <si>
    <t>P127</t>
  </si>
  <si>
    <t>xGLY + NO3 = NO3 + GLY</t>
  </si>
  <si>
    <t>P128</t>
  </si>
  <si>
    <t>P129</t>
  </si>
  <si>
    <t>P130</t>
  </si>
  <si>
    <t>P131</t>
  </si>
  <si>
    <t>P132</t>
  </si>
  <si>
    <t>P133</t>
  </si>
  <si>
    <t>P134</t>
  </si>
  <si>
    <t>P135</t>
  </si>
  <si>
    <t>xMGLY + NO = NO + MGLY</t>
  </si>
  <si>
    <t>P136</t>
  </si>
  <si>
    <t>xMGLY + HO2 = HO2 + #3 XC</t>
  </si>
  <si>
    <t>P137</t>
  </si>
  <si>
    <t>xMGLY + NO3 = NO3 + MGLY</t>
  </si>
  <si>
    <t>P138</t>
  </si>
  <si>
    <t>P139</t>
  </si>
  <si>
    <t>P140</t>
  </si>
  <si>
    <t>P141</t>
  </si>
  <si>
    <t>P142</t>
  </si>
  <si>
    <t>P143</t>
  </si>
  <si>
    <t>P144</t>
  </si>
  <si>
    <t>P145</t>
  </si>
  <si>
    <t>xBACL + NO = NO + BACL</t>
  </si>
  <si>
    <t>P146</t>
  </si>
  <si>
    <t>xBACL + HO2 = HO2 + #4 XC</t>
  </si>
  <si>
    <t>P147</t>
  </si>
  <si>
    <t>xBACL + NO3 = NO3 + BACL</t>
  </si>
  <si>
    <t>P148</t>
  </si>
  <si>
    <t>P149</t>
  </si>
  <si>
    <t>P150</t>
  </si>
  <si>
    <t>P151</t>
  </si>
  <si>
    <t>P152</t>
  </si>
  <si>
    <t>P153</t>
  </si>
  <si>
    <t>P154</t>
  </si>
  <si>
    <t>P155</t>
  </si>
  <si>
    <t>xBALD + NO = NO + BALD</t>
  </si>
  <si>
    <t>P156</t>
  </si>
  <si>
    <t>xBALD + HO2 = HO2 + #7 XC</t>
  </si>
  <si>
    <t>P157</t>
  </si>
  <si>
    <t>xBALD + NO3 = NO3 + BALD</t>
  </si>
  <si>
    <t>P158</t>
  </si>
  <si>
    <t>P159</t>
  </si>
  <si>
    <t>P160</t>
  </si>
  <si>
    <t>P161</t>
  </si>
  <si>
    <t>P162</t>
  </si>
  <si>
    <t>P163</t>
  </si>
  <si>
    <t>P164</t>
  </si>
  <si>
    <t>P165</t>
  </si>
  <si>
    <t>xAFG1 + NO = NO + AFG1</t>
  </si>
  <si>
    <t>P166</t>
  </si>
  <si>
    <t>xAFG1 + HO2 = HO2 + #5 XC</t>
  </si>
  <si>
    <t>P167</t>
  </si>
  <si>
    <t>xAFG1 + NO3 = NO3 + AFG1</t>
  </si>
  <si>
    <t>P168</t>
  </si>
  <si>
    <t>P169</t>
  </si>
  <si>
    <t>P170</t>
  </si>
  <si>
    <t>P171</t>
  </si>
  <si>
    <t>P172</t>
  </si>
  <si>
    <t>P173</t>
  </si>
  <si>
    <t>P174</t>
  </si>
  <si>
    <t>P175</t>
  </si>
  <si>
    <t>xAFG2 + NO = NO + AFG2</t>
  </si>
  <si>
    <t>P176</t>
  </si>
  <si>
    <t>xAFG2 + HO2 = HO2 + #5 XC</t>
  </si>
  <si>
    <t>P177</t>
  </si>
  <si>
    <t>xAFG2 + NO3 = NO3 + AFG2</t>
  </si>
  <si>
    <t>P178</t>
  </si>
  <si>
    <t>P179</t>
  </si>
  <si>
    <t>P180</t>
  </si>
  <si>
    <t>P181</t>
  </si>
  <si>
    <t>P182</t>
  </si>
  <si>
    <t>P183</t>
  </si>
  <si>
    <t>P184</t>
  </si>
  <si>
    <t>P185</t>
  </si>
  <si>
    <t>xAFG3 + NO = NO + AFG3</t>
  </si>
  <si>
    <t>P186</t>
  </si>
  <si>
    <t>xAFG3 + HO2 = HO2 + #7 XC</t>
  </si>
  <si>
    <t>P187</t>
  </si>
  <si>
    <t>xAFG3 + NO3 = NO3 + AFG3</t>
  </si>
  <si>
    <t>P188</t>
  </si>
  <si>
    <t>P189</t>
  </si>
  <si>
    <t>P190</t>
  </si>
  <si>
    <t>P191</t>
  </si>
  <si>
    <t>P192</t>
  </si>
  <si>
    <t>P193</t>
  </si>
  <si>
    <t>P194</t>
  </si>
  <si>
    <t>P195</t>
  </si>
  <si>
    <t>xMACR + NO = NO + MACR</t>
  </si>
  <si>
    <t>P196</t>
  </si>
  <si>
    <t>xMACR + HO2 = HO2 + #4 XC</t>
  </si>
  <si>
    <t>P197</t>
  </si>
  <si>
    <t>xMACR + NO3 = NO3 + MACR</t>
  </si>
  <si>
    <t>P198</t>
  </si>
  <si>
    <t>P199</t>
  </si>
  <si>
    <t>P200</t>
  </si>
  <si>
    <t>P201</t>
  </si>
  <si>
    <t>P202</t>
  </si>
  <si>
    <t>P203</t>
  </si>
  <si>
    <t>P204</t>
  </si>
  <si>
    <t>P205</t>
  </si>
  <si>
    <t>xMVK + NO = NO + MVK</t>
  </si>
  <si>
    <t>P206</t>
  </si>
  <si>
    <t>xMVK + HO2 = HO2 + #4 XC</t>
  </si>
  <si>
    <t>P207</t>
  </si>
  <si>
    <t>xMVK + NO3 = NO3 + MVK</t>
  </si>
  <si>
    <t>P208</t>
  </si>
  <si>
    <t>P209</t>
  </si>
  <si>
    <t>P210</t>
  </si>
  <si>
    <t>P211</t>
  </si>
  <si>
    <t>P212</t>
  </si>
  <si>
    <t>P213</t>
  </si>
  <si>
    <t>P214</t>
  </si>
  <si>
    <t>P215</t>
  </si>
  <si>
    <t>xIPRD + NO = NO + IPRD</t>
  </si>
  <si>
    <t>P216</t>
  </si>
  <si>
    <t>xIPRD + HO2 = HO2 + #5 XC</t>
  </si>
  <si>
    <t>P217</t>
  </si>
  <si>
    <t>xIPRD + NO3 = NO3 + IPRD</t>
  </si>
  <si>
    <t>P218</t>
  </si>
  <si>
    <t>P219</t>
  </si>
  <si>
    <t>P220</t>
  </si>
  <si>
    <t>P221</t>
  </si>
  <si>
    <t>P222</t>
  </si>
  <si>
    <t>P223</t>
  </si>
  <si>
    <t>P224</t>
  </si>
  <si>
    <t>P225</t>
  </si>
  <si>
    <t>xRNO3 + NO = NO + RNO3</t>
  </si>
  <si>
    <t>P226</t>
  </si>
  <si>
    <t>xRNO3 + HO2 = HO2 + #6 XC + XN</t>
  </si>
  <si>
    <t>P227</t>
  </si>
  <si>
    <t>xRNO3 + NO3 = NO3 + RNO3</t>
  </si>
  <si>
    <t>P228</t>
  </si>
  <si>
    <t>P229</t>
  </si>
  <si>
    <t>P230</t>
  </si>
  <si>
    <t>O-XYLENE + OH = #.161 HO2 + #.554 xHO2 + #.198 OH + #.554 RO2C + #.087 RO2XC + #.087 zRNO3 + #.084 xGLY + #.238 xMGLY + #.185 xBACL + #.161 CRES + #.047 xBALD + #.253 xAFG1 + #.253 xAFG2 + #.198 AFG3 + #.055 yR6OOH + #.586 yRAOOH + #.484 XC</t>
  </si>
  <si>
    <t>P-XYLENE + OH = #.159 HO2 + #.487 xHO2 + #.278 OH + #.487 RO2C + #.076 RO2XC + #.076 zRNO3 + #.286 xGLY + #.112 xMGLY + #.159 CRES + #.088 xBALD + #.045 xAFG1 + #.067 xAFG2 + #.278 AFG3 + #.286 xAFG3 + #.102 yR6OOH + #.461 yRAOOH + #.399 XC</t>
  </si>
  <si>
    <t>124-TMB + OH = #.022 HO2 + #.627 xHO2 + #.23 OH + #.627 RO2C + #.121 RO2XC + #.121 zRNO3 + #.074 xGLY + #.405 xMGLY + #.112 xBACL + #.022 CRES + #.036 xBALD + #.088 xAFG1 + #.352 xAFG2 + #.23 AFG3 + #.151 xAFG3 + #.043 yR6OOH + #.705 yRAOOH + #1.19 XC</t>
  </si>
  <si>
    <t>ETOH + OH = #.95 HO2 + #.05 xHO2 + #.05 RO2C + #.081 xHCHO + #.95 CCHO + #.01 xHOCCHO + #.05 yROOH + #-.001 XC</t>
  </si>
  <si>
    <t>ACRO + CL = #.484 xHO2 + #.274 xCL + #.216 MACO3 + #1.032 RO2C + #.026 RO2XC + #.026 zRNO3 + #.216 HCL + #.484 xCO + #.274 xHCHO + #.274 xGLY + #.484 xCLCCHO + #.784 yROOH + #-.294 XC</t>
  </si>
  <si>
    <t>ETHENE + CL = xHO2 + #2 RO2C + xHCHO + CLCHO</t>
  </si>
  <si>
    <t>PROPENE + CL = #.124 HCL + #.971 xHO2 + #.971 RO2C + #.029 RO2XC + #.029 zRNO3 + #.124 xACRO + #.306 xCLCCHO + #.54 xCLACET + yROOH + #.222 XC</t>
  </si>
  <si>
    <t>13-BUTDE + CL = #.39 xHO2 + #.541 xCL + #1.884 RO2C + #.069 RO2XC + #.069 zRNO3 + #.863 xHCHO + #.457 xACRO + #.473 xIPRD + yROOH + #-1.013 XC</t>
  </si>
  <si>
    <t>ISOPRENE + CL = #.15 HCL + #.738 xHO2 + #.177 xCL + #1.168 RO2C + #.085 RO2XC + #.085 zRNO3 + #.275 xHCHO + #.177 xMVK + #.671 xIPRD + #.067 xCLCCHO + yR6OOH + #.018 XC</t>
  </si>
  <si>
    <t>A-PINENE + CL = #.548 HCL + #.252 xHO2 + #.068 xCL + #.034 xMECO3 + #.05 xRCO3 + #.016 xMACO3 + #2.258 RO2C + #.582 RO2XC + #.582 zRNO3 + #.035 xCO + #.158 xHCHO + #.185 xRCHO + #.274 xACET + #.007 xGLY + #.003 xBACL + #.003 xMVK + #.158 xIPRD + #.006 xAFG1 + #.006 xAFG2 + #.001 xAFG3 + #.109 xCLCCHO + yR6OOH + #3.543 XC</t>
  </si>
  <si>
    <t>ETOH + CL = HCL + #.688 HO2 + #.312 xHO2 + #.312 RO2C + #.503 xHCHO + #.688 CCHO + #.061 xHOCCHO + #.312 yROOH + #-.001 XC</t>
  </si>
  <si>
    <t>OLE1+ OH = #.871 xHO2 + #.001 xMEO2 + #1.202 RO2C + #.128 RO2XC + #.128 zRNO3 + #.582 xHCHO + #.01 xCCHO + #.007 xHOCCHO + #.666 xRCHO + #.007 xACET + #0.036 xACRO + #.001 xMACR + #.012 xMVK + #.009 xIPRD + #.168 xPROD2 + #.169 yROOH + #.831 yR6OOH + #.383 XC</t>
  </si>
  <si>
    <t>OLE1+ O3 = #.095 HO2 + #.057 xHO2 + #.128 OH + #.09 RO2C + #.005 RO2XC + #.005 zRNO3 + #.303 CO + #.088 CO2 + #.5 HCHO + #.011 xCCHO + #.5 RCHO + #.044 xRCHO + #.003 xACET + #.009 MEK + #.185 HCOOH + #.159 RCOOH + #.268 PROD2 + #.011 yROOH + #.052 yR6OOH + #.11 XC</t>
  </si>
  <si>
    <t>OLE1+ NO3 = #.772 xHO2 + #1.463 RO2C + #.228 RO2XC + #.228 zRNO3 + #.013 xCCHO + #.003 xRCHO + #.034 xACET + #.774 xRNO3 + #.169 yROOH + #.831 yR6OOH + #.226 XN + #-1.149 XC</t>
  </si>
  <si>
    <t>OLE1+ O3P = #.45 RCHO + #.39 MEK + #.16 PROD2 + #1.13 XC</t>
  </si>
  <si>
    <t>OLE2+ OH = #.912 xHO2 + #.953 RO2C + #.088 RO2XC + #.088 zRNO3 + #.179 xHCHO + #.835 xCCHO + #.51 xRCHO + #.144 xACET + #.08 xMEK + #.002 xMVK + #.012 xIPRD + #.023 xPROD2 + #.319 yROOH + #.681 yR6OOH + #.135 XC</t>
  </si>
  <si>
    <t>OLE2+ O3 = #.094 HO2 + #.041 xHO2 + #.443 OH + #.307 MEO2 + #.156 xMECO3 + #.008 xRCO3 + #.212 RO2C + #.003 RO2XC + #.003 zRNO3 + #.299 CO + #.161 CO2 + #.131 HCHO + #.114 xHCHO + #.453 CCHO + #.071 xCCHO + #.333 RCHO + #.019 xRCHO + #.051 ACET + #.033 MEK + #.001 xMEK + #.024 HCOOH + #.065 CCOOH + #.235 RCOOH + #.037 PROD2 + #.073 yROOH + #.136 yR6OOH + #.16 XC</t>
  </si>
  <si>
    <t>OLE2+ NO3 = #.4 xHO2 + #.426 xNO2 + #.035 xMEO2 + #1.193 RO2C + #.14 RO2XC + #.14 zRNO3 + #.072 xHCHO + #.579 xCCHO + #.163 xRCHO + #.116 xACET + #.002 xMEK + #.32 xRNO3 + #.319 yROOH + #.681 yR6OOH + #.254 XN + #.13 XC</t>
  </si>
  <si>
    <t>OLE2+ O3P = #.079 RCHO + #.751 MEK + #.17 PROD2 + #.739 XC</t>
  </si>
  <si>
    <t>ARO1+ OH = #.123 HO2 + #.566 xHO2 + #.202 OH + #.566 RO2C + #.11 RO2XC + #.11 zRNO3 + #.158 xGLY + #.1 xMGLY + #.123 CRES + #.072 xAFG1 + #.185 xAFG2 + #.202 AFG3 + #.309 xPROD2 + #.369 yR6OOH + #.31 XC</t>
  </si>
  <si>
    <t>ARO2+ OH = #.077 HO2 + #.617 xHO2 + #.178 OH + #.617 RO2C + #.128 RO2XC + #.128 zRNO3 + #.088 xGLY + #.312 xMGLY + #.134 xBACL + #.077 CRES + #.026 xBALD + #.221 xAFG1 + #.247 xAFG2 + #.178 AFG3 + #.068 xAFG3 + #.057 xPROD2 + #.101 yR6OOH + #1.459 XC</t>
  </si>
  <si>
    <t>TERP+ OH = #.734 xHO2 + #.064 xRCO3 + #1.211 RO2C + #.201 RO2XC + #.201 zRNO3 + #.001 xCO + #.411 xHCHO + #.385 xRCHO + #.037 xACET + #.007 xMEK + #.003 xMGLY + #.009 xBACL + #.003 xMVK + #.002 xIPRD + #.409 xPROD2 + yR6OOH + #4.375 XC</t>
  </si>
  <si>
    <t>TERP+ O3 = #.078 HO2 + #.046 xHO2 + #.499 OH + #.202 xMECO3 + #.059 xRCO3 + #.49 RO2C + #.121 RO2XC + #.121 zRNO3 + #.249 CO + #.063 CO2 + #.127 HCHO + #.033 xHCHO + #.208 xRCHO + #.057 xACET + #.002 MEK + #.172 HCOOH + #.068 RCOOH + #.003 xMGLY + #.039 xBACL + #.002 xMACR + #.001 xIPRD + #.502 PROD2 + #.428 yR6OOH + #3.852 XC</t>
  </si>
  <si>
    <t>TERP+ NO3 = #.227 xHO2 + #.287 xNO2 + #.026 xRCO3 + #1.786 RO2C + #.46 RO2XC + #.46 zRNO3 + #.012 xCO + #.023 xHCHO + #.002 xHOCCHO + #.403 xRCHO + #.239 xACET + #.005 xMACR + #.001 xMVK + #.004 xIPRD + #.228 xRNO3 + yR6OOH + #.485 XN + #3.785 XC</t>
  </si>
  <si>
    <t>TERP+ O3P = #.237 RCHO + #.763 PROD2 + #4.711 XC</t>
  </si>
  <si>
    <t>ALK1 + CL = HCL + xHO2 + RO2C + xCCHO + yROOH</t>
  </si>
  <si>
    <t>ALK2 + CL = HCL + #.97 xHO2 + #.97 RO2C + #.03 RO2XC + #.03 zRNO3 + #.482 xRCHO + #.488 xACET + yROOH + #-.09 XC</t>
  </si>
  <si>
    <t>ALK3 + CL = HCL + #.835 xHO2 + #.094 xTBUO + #1.361 RO2C + #.07 RO2XC + #.07 zRNO3 + #.078 xHCHO + #.34 xCCHO + #.343 xRCHO + #.075 xACET + #.253 xMEK + #.983 yROOH + #.017 yR6OOH + #.18 XC</t>
  </si>
  <si>
    <t>ALK4 + CL = HCL + #.827 xHO2 + #.003 xMEO2 + #.004 xMECO3 + #1.737 RO2C + #.165 RO2XC + #.165 zRNO3 + #.003 xCO + #.034 xHCHO + #.287 xCCHO + #.412 xRCHO + #.247 xACET + #.076 xMEK + #.13 xPROD2 + yR6OOH + #.327 XC</t>
  </si>
  <si>
    <t>ALK5 + CL = HCL + #.647 xHO2 + #1.541 RO2C + #.352 RO2XC + #.352 zRNO3 + #.022 xHCHO + #.08 xCCHO + #.258 xRCHO + #.044 xACET + #.041 xMEK + #.378 xPROD2 + yR6OOH + #2.368 XC</t>
  </si>
  <si>
    <t>COOH + OH = H2O + #.3 {HCHO + OH} + #.7 MEO2</t>
  </si>
  <si>
    <t>ROOH + OH = #.744 OH + #.251 RO2C + #.004 RO2XC + #.004 zRNO3 + #.744 RCHO + #.239 xHO2 + #.012 xOH + #.012 xHCHO + #.012 xCCHO + #.205 xRCHO + #.034 xPROD2 + #.256 yROOH + #-0.115 XC</t>
  </si>
  <si>
    <t>R6OOH + OH = #.84 OH + #.222 RO2C + #.029 RO2XC + #.029 zRNO3 + #.84 PROD2 + #.09 xHO2 + #.041 xOH + #.02 xCCHO + #.075 xRCHO + #.084 xPROD2 + #.16 yROOH + #.02 XC</t>
  </si>
  <si>
    <t>RAOOH + OH = #.139 OH + #.148 HO2 + #.589 RO2C + #.124 RO2XC + #.124 zRNO3 + #.074 PROD2 + #.147 MGLY + #.139 IPRD + #.565 xHO2 + #.024 xOH + #.448 xRCHO + #.026 xGLY + #.030 xMEK + #.252 xMGLY + #.073 xAFG1 + #.073 xAFG2 + #.713 yR6OOH + #2.674 XC</t>
  </si>
  <si>
    <t>CCO3H + OH = #.98 MECO3 + #.02 {RO2C + CO2 + xOH + xHCHO + yROOH}</t>
  </si>
  <si>
    <t>RCO3H + OH = #.806 RCO3 + #.194 {RO2C + yROOH} + #.11 {CO2 + xOH + xCCHO} + #.084 {xHO2 + xRCHO}</t>
  </si>
  <si>
    <t>RAOOH + CL = #.404 HCL + #.139 OH + #.148 HO2 + #.589 RO2C + #.124 RO2XC + #.124 zRNO3 + #.074 PROD2 + #.147 MGLY + #.139 IPRD + #.565 xHO2 + #.024 xOH + #.448 xRCHO + #.026 xGLY + #.030 xMEK + #.252 xMGLY + #.073 xAFG1 + #.073 xAFG2 + #.713 yR6OOH + #2.674 XC</t>
  </si>
  <si>
    <t>OLE1+ CL = #.384 HCL + #.873 xHO2 + #1.608 RO2C + #.127 RO2XC + #.127 zRNO3 + #.036 xHCHO + #.206 xCCHO + #.072 xRCHO + #.215 xACRO + #.019 xMVK + #.038 xIPRD + #.192 xCLCCHO + #.337 xCLACET + #.169 yROOH + #.831 yR6OOH + #1.268 XC</t>
  </si>
  <si>
    <t>OLE2+ CL = #.279 HCL + #.45 xHO2 + #.442 xCL + #.001 xMEO2 + #1.492 RO2C + #.106 RO2XC + #.106 zRNO3 + #.19 xHCHO + #.383 xCCHO + #.317 xRCHO + #.086 xACET + #.042 xMEK + #.025 xMACR + #.058 xMVK + #.161 xIPRD + #.013 xCLCCHO + #.191 xCLACET + #.319 yROOH + #.681 yR6OOH + #.294 XC</t>
  </si>
  <si>
    <t>ARO1+ CL = #.84 xHO2 + #.84 RO2C + #.16 RO2XC + #.16 zRNO3 + #.84 xPROD2 + XC</t>
  </si>
  <si>
    <t>ARO2+ CL = #.828 xHO2 + #.828 RO2C + #.172 RO2XC + #.172 zRNO3 + #.469 xBALD + #.359 xPROD2 + #2.531 XC</t>
  </si>
  <si>
    <t>TERP+ CL = #.548 HCL + #.252 xHO2 + #.068 xCL + #.034 xMECO3 + #.05 xRCO3 + #.016 xMACO3 + #2.258 RO2C + #.582 RO2XC + #.582 zRNO3 + #.035 xCO + #.158 xHCHO + #.185 xRCHO + #.274 xACET + #.007 xGLY + #.003 xBACL + #.003 xMVK + #.158 xIPRD + #.006 xAFG1 + #.006 xAFG2 + #.001 xAFG3 + #.109 xCLCCHO + yR6OOH + #3.543 XC</t>
  </si>
  <si>
    <t>Other Unsaturated Oxidation Products</t>
  </si>
  <si>
    <t>Lumped VOC Species</t>
  </si>
  <si>
    <t>Chlorine Reactions of Lumped VOC Species</t>
  </si>
  <si>
    <t>Species in the "Toxics" Version of the SAPRC-07 Mechansm</t>
  </si>
  <si>
    <t>Reactions and Rate Parameters for the "Toxics" Version of the SAPRC-07 Mechanism. Radical Version "B"</t>
  </si>
  <si>
    <t>Reactions and Rate Parameters for the "Toxics" Version of the SAPRC-07 Mechanism. Radical Version "C"</t>
  </si>
  <si>
    <t>yROOH + NO = NO</t>
  </si>
  <si>
    <t>yROOH + HO2 = HO2 + ROOH + #-3 XC</t>
  </si>
  <si>
    <t>yROOH + NO3 = NO3</t>
  </si>
  <si>
    <t>yROOH + MEO2 = MEO2 + #.5 MEK + #-2 XC</t>
  </si>
  <si>
    <t>yROOH + RO2C = RO2C + #.5 MEK + #-2 XC</t>
  </si>
  <si>
    <t>yROOH + RO2XC = RO2XC + #.5 MEK + #-2 XC</t>
  </si>
  <si>
    <t>yR6OOH + NO = NO</t>
  </si>
  <si>
    <t>yR6OOH + HO2 = HO2 + R6OOH + #-6 XC</t>
  </si>
  <si>
    <t>yR6OOH + NO3 = NO3</t>
  </si>
  <si>
    <t>yR6OOH + MEO2 = MEO2 + #.5 PROD2 + #-3 XC</t>
  </si>
  <si>
    <t>yR6OOH + RO2C = RO2C + #.5 PROD2 + #-3 XC</t>
  </si>
  <si>
    <t>yR6OOH + RO2XC = RO2XC + #.5 PROD2 + #-3 XC</t>
  </si>
  <si>
    <t>yRAOOH + NO = NO</t>
  </si>
  <si>
    <t>yRAOOH + HO2 = HO2 + RAOOH + #-8 XC</t>
  </si>
  <si>
    <t>yRAOOH + NO3 = NO3</t>
  </si>
  <si>
    <t>yRAOOH + MEO2 = MEO2 + #.5 PROD2 + #-3 XC</t>
  </si>
  <si>
    <t>yRAOOH + RO2C = RO2C + #.5 PROD2 + #-3 XC</t>
  </si>
  <si>
    <t>yRAOOH + RO2XC = RO2XC + #.5 PROD2 + #-3 XC</t>
  </si>
  <si>
    <t>zRNO3 + NO = NO + RNO3 + #-1 XN</t>
  </si>
  <si>
    <t>zRNO3 + HO2 = HO2 + #6 XC</t>
  </si>
  <si>
    <t>zRNO3 + NO3 = NO3 + PROD2 + HO2</t>
  </si>
  <si>
    <t>zRNO3 + MEO2 = MEO2 + #.5 PROD2 + #.5 HO2 + #3 XC</t>
  </si>
  <si>
    <t>zRNO3 + RO2C = RO2C + #.5 PROD2 + #.5 HO2 + #3 XC</t>
  </si>
  <si>
    <t>zRNO3 + RO2XC = RO2XC + #.5 PROD2 + #.5 HO2 + #3 XC</t>
  </si>
  <si>
    <t>Explicitly Represented Primary Organics</t>
  </si>
  <si>
    <t>BE01</t>
  </si>
  <si>
    <t>BE02</t>
  </si>
  <si>
    <t>BE03</t>
  </si>
  <si>
    <t>BE04</t>
  </si>
  <si>
    <t>BE05</t>
  </si>
  <si>
    <t>BE06</t>
  </si>
  <si>
    <t>PROPENE + OH = #.984 xHO2 + #.984 RO2C + #.016 RO2XC + #.016 zRNO3 + #.984 xHCHO + #.984 xCCHO + yROOH + #-.048 XC</t>
  </si>
  <si>
    <t>BE07</t>
  </si>
  <si>
    <t>PROPENE + O3 = #.165 HO2 + #.35 OH + #.355 MEO2 + #.525 CO + #.215 CO2 + #.5 HCHO + #.5 CCHO + #.185 HCOOH + #.075 CCOOH + #.07 XC</t>
  </si>
  <si>
    <t>BE08</t>
  </si>
  <si>
    <t>PROPENE + NO3 = #.949 xHO2 + #.949 RO2C + #.051 RO2XC + #.051 zRNO3 + yROOH + XN + #2.694 XC</t>
  </si>
  <si>
    <t>BE09</t>
  </si>
  <si>
    <t>PROPENE + O3P = #.45 RCHO + #.55 MEK + #-.55 XC</t>
  </si>
  <si>
    <t>BE10</t>
  </si>
  <si>
    <t>BE11</t>
  </si>
  <si>
    <t>BE12</t>
  </si>
  <si>
    <t>13-BUTDE + NO3 = #.815 xHO2 + #.12 xNO2 + #1.055 RO2C + #.065 RO2XC + #.065 zRNO3 + #.115 xHCHO + #.46 xMVK + #.12 xIPRD + #.355 xRNO3 + yROOH + #.525 XN + #-1.075 XC</t>
  </si>
  <si>
    <t>A-PINENE + OH = #.799 xHO2 + #.004 xRCO3 + #1.042 RO2C + #.197 RO2XC + #.197 zRNO3 + #.002 xCO + #.022 xHCHO + #.776 xRCHO + #.034 xACET + #.02 xMGLY + #.023 xBACL + yR6OOH + #6.2 XC</t>
  </si>
  <si>
    <t>A-PINENE + O3 = #.009 HO2 + #.102 xHO2 + #.728 OH + #.001 xMECO3 + #.297 xRCO3 + #1.511 RO2C + #.337 RO2XC + #.337 zRNO3 + #.029 CO + #.051 xCO + #.017 CO2 + #.344 xHCHO + #.24 xRCHO + #.345 xACET + #.008 MEK + #.002 xGLY + #.081 xBACL + #.255 PROD2 + #.737 yR6OOH + #2.999 XC</t>
  </si>
  <si>
    <t>A-PINENE + NO3 = #.056 xHO2 + #.643 xNO2 + #.007 xRCO3 + #1.05 RO2C + #.293 RO2XC + #.293 zRNO3 + #.005 xCO + #.007 xHCHO + #.684 xRCHO + #.069 xACET + #.002 xMGLY + #.056 xRNO3 + yR6OOH + #.301 XN + #5.608 XC</t>
  </si>
  <si>
    <t>A-PINENE + O3P = PROD2 + #4 XC</t>
  </si>
  <si>
    <t>Base Chlorine Mechanism</t>
  </si>
  <si>
    <t>CI01</t>
  </si>
  <si>
    <t>CL2 + HV = #2 CL</t>
  </si>
  <si>
    <t>CL + O2 + M = CLO2. + M</t>
  </si>
  <si>
    <t>(Ignored)</t>
  </si>
  <si>
    <t>CLO2. + M = CL + O2 + M</t>
  </si>
  <si>
    <t>CI02</t>
  </si>
  <si>
    <t>CL + NO + M = CLNO + M</t>
  </si>
  <si>
    <t>CI03</t>
  </si>
  <si>
    <t>CLNO + HV = CL + NO</t>
  </si>
  <si>
    <t>CLNO-06</t>
  </si>
  <si>
    <t>CI04</t>
  </si>
  <si>
    <t>CL + NO2 = CLONO</t>
  </si>
  <si>
    <t>CI05</t>
  </si>
  <si>
    <t>CL + NO2 = CLNO2</t>
  </si>
  <si>
    <t>CI06</t>
  </si>
  <si>
    <t>CLONO + HV = CL + NO2</t>
  </si>
  <si>
    <t>CI07</t>
  </si>
  <si>
    <t>CLNO2 + HV = CL + NO2</t>
  </si>
  <si>
    <t>CI08</t>
  </si>
  <si>
    <t>CL + HO2 = HCL + O2</t>
  </si>
  <si>
    <t>CI09</t>
  </si>
  <si>
    <t>CL + HO2 = CLO + OH</t>
  </si>
  <si>
    <t>CI10</t>
  </si>
  <si>
    <t>CL + O3 = CLO + O2</t>
  </si>
  <si>
    <t>CI11</t>
  </si>
  <si>
    <t>CL + NO3 = CLO + NO2</t>
  </si>
  <si>
    <t>CI12</t>
  </si>
  <si>
    <t>CLO + NO = CL + NO2</t>
  </si>
  <si>
    <t>CI13</t>
  </si>
  <si>
    <t>CLO + NO2 = CLONO2</t>
  </si>
  <si>
    <t>CI14</t>
  </si>
  <si>
    <t>CLONO2 + HV = CLO + NO2</t>
  </si>
  <si>
    <t>CLONO2-1</t>
  </si>
  <si>
    <t>CI15</t>
  </si>
  <si>
    <t>CLONO2 + HV = CL + NO3</t>
  </si>
  <si>
    <t>CLONO2-2</t>
  </si>
  <si>
    <t>CI16</t>
  </si>
  <si>
    <t>CLONO2 = CLO + NO2</t>
  </si>
  <si>
    <t>CI17</t>
  </si>
  <si>
    <t>CL + CLONO2 = CL2 + NO3</t>
  </si>
  <si>
    <t>CI18</t>
  </si>
  <si>
    <t>CLO + HO2 = HOCL + O2</t>
  </si>
  <si>
    <t>CI19</t>
  </si>
  <si>
    <t>HOCL + HV = OH + CL</t>
  </si>
  <si>
    <t>HOCL-06</t>
  </si>
  <si>
    <t>CI20</t>
  </si>
  <si>
    <t>CLO + CLO = #.29 CL2 + #1.42 CL + O2</t>
  </si>
  <si>
    <t>CI21</t>
  </si>
  <si>
    <t>OH + HCL = H2O + CL</t>
  </si>
  <si>
    <t>CI22</t>
  </si>
  <si>
    <t>CL + H2 = HCL + HO2</t>
  </si>
  <si>
    <t>Chlorine reactions with common organic products</t>
  </si>
  <si>
    <t>CP01</t>
  </si>
  <si>
    <t>HCHO + CL = HCL + HO2 + CO</t>
  </si>
  <si>
    <t>CP02</t>
  </si>
  <si>
    <t>CCHO + CL = HCL + MECO3</t>
  </si>
  <si>
    <t>CP03</t>
  </si>
  <si>
    <t>MEOH + CL = HCL + HCHO + HO2</t>
  </si>
  <si>
    <t>CP04</t>
  </si>
  <si>
    <t>RCHO + CL = HCL + #.9 RCO3 + #.1 {RO2C + xCCHO + xCO + xHO2 + yROOH}</t>
  </si>
  <si>
    <t>CP05</t>
  </si>
  <si>
    <t>ACET + CL = HCL + RO2C + xHCHO + xMECO3 + yROOH</t>
  </si>
  <si>
    <t>CP06</t>
  </si>
  <si>
    <t>MEK + CL = HCL + #.975 RO2C + #.039 RO2XC + #.039 zRNO3 + #.84 xHO2 + #.085 xMECO3 + #.036 xRCO3 + #.065 xHCHO + #.07 xCCHO + #.84 xRCHO + yROOH + #.763 XC</t>
  </si>
  <si>
    <t>CP07</t>
  </si>
  <si>
    <t>RNO3 + CL = HCL + #.038 NO2 + #.055 HO2 + #1.282 RO2C + #.202 RO2XC + #.202 zRNO3 + #.009 RCHO + #.018 MEK + #.012 PROD2 + #.055 RNO3 + #.159 xNO2 + #.547 xHO2 + #.045 xHCHO + #.300 xCCHO + #.020 xRCHO + #.003 xACET + #.041 xMEK + #.046 xPROD2 + #.547 xRNO3 + #.908 yR6OOH + #.201 XN + #-.149 XC</t>
  </si>
  <si>
    <t>CP08</t>
  </si>
  <si>
    <t>PROD2 + CL = HCL + #.314 HO2 + #.680 RO2C + #.116 RO2XC + #.116 zRNO3 + #.198 RCHO + #.116 PROD2 + #.541 xHO2 + #.007 xMECO3 + #.022 xRCO3 + #.237 xHCHO + #.109 xCCHO + #.591 xRCHO + #.051 xMEK + #.040 xPROD2 + #.686 yR6OOH + #1.262 XC</t>
  </si>
  <si>
    <t>CP09</t>
  </si>
  <si>
    <t>GLY + CL = HCL + #.63 HO2 + #1.26 CO + #.37 RCO3 + #-.37 XC</t>
  </si>
  <si>
    <t>CP10</t>
  </si>
  <si>
    <t>MGLY + CL = HCL + CO + MECO3</t>
  </si>
  <si>
    <t>CP11</t>
  </si>
  <si>
    <t>CRES + CL = HCL + xHO2 + xBALD + yR6OOH</t>
  </si>
  <si>
    <t>CP12</t>
  </si>
  <si>
    <t>BALD + CL = HCL + BZCO3</t>
  </si>
  <si>
    <t>CP13</t>
  </si>
  <si>
    <t>xHO2 + MEO2 = MEO2 + #.5 HO2</t>
  </si>
  <si>
    <t>xHO2 + RO2C = RO2C + #.5 HO2</t>
  </si>
  <si>
    <t>xHO2 + RO2XC = RO2XC + #.5 HO2</t>
  </si>
  <si>
    <t>xOH + MEO2 = MEO2 + #.5 OH</t>
  </si>
  <si>
    <t>xOH + RO2C = RO2C + #.5 OH</t>
  </si>
  <si>
    <t>xOH + RO2XC = RO2XC + #.5 OH</t>
  </si>
  <si>
    <t>xNO2 + MEO2 = MEO2 + #.5 {NO2 + XN}</t>
  </si>
  <si>
    <t>xNO2 + RO2C = RO2C + #.5 {NO2 + XN}</t>
  </si>
  <si>
    <t>xNO2 + RO2XC = RO2XC + #.5 {NO2 + XN}</t>
  </si>
  <si>
    <t>xMEO2 + MEO2 = MEO2 + #.5 {MEO2 + XC}</t>
  </si>
  <si>
    <t>xMEO2 + RO2C = RO2C + #.5 {MEO2 + XC}</t>
  </si>
  <si>
    <t>xMEO2 + RO2XC = RO2XC + #.5 {MEO2 + XC}</t>
  </si>
  <si>
    <t>xMECO3 + MEO2 = MEO2 + #.5 MECO3 + XC</t>
  </si>
  <si>
    <t>xMECO3 + RO2C = RO2C + #.5 MECO3 + XC</t>
  </si>
  <si>
    <t>xMECO3 + RO2XC = RO2XC + #.5 MECO3 + XC</t>
  </si>
  <si>
    <t>xRCO3 + MEO2 = MEO2 + #.5 RCO3 + #1.5 XC</t>
  </si>
  <si>
    <t>xRCO3 + RO2C = RO2C + #.5 RCO3 + #1.5 XC</t>
  </si>
  <si>
    <t>xRCO3 + RO2XC = RO2XC + #.5 RCO3 + #1.5 XC</t>
  </si>
  <si>
    <t>xMACO3 + MEO2 = MEO2 + #.5 MACO3 + #2 XC</t>
  </si>
  <si>
    <t>xMACO3 + RO2C = RO2C + #.5 MACO3 + #2 XC</t>
  </si>
  <si>
    <t>xMACO3 + RO2XC = RO2XC + #.5 MACO3 + #2 XC</t>
  </si>
  <si>
    <t>xTBUO + MEO2 = MEO2 + #.5 TBUO + #2 XC</t>
  </si>
  <si>
    <t>xTBUO + RO2C = RO2C + #.5 TBUO + #2 XC</t>
  </si>
  <si>
    <t>xTBUO + RO2XC = RO2XC + #.5 TBUO + #2 XC</t>
  </si>
  <si>
    <t>xCO + MEO2 = MEO2 + #.5 {CO + XC}</t>
  </si>
  <si>
    <t>xCO + RO2C = RO2C + #.5 {CO + XC}</t>
  </si>
  <si>
    <t>xCO + RO2XC = RO2XC + #.5 {CO + XC}</t>
  </si>
  <si>
    <t>xHCHO + MEO2 = MEO2 + #.5 {HCHO + XC}</t>
  </si>
  <si>
    <t>xHCHO + RO2C = RO2C + #.5 {HCHO + XC}</t>
  </si>
  <si>
    <t>xHCHO + RO2XC = RO2XC + #.5 {HCHO + XC}</t>
  </si>
  <si>
    <t>xCCHO + MEO2 = MEO2 + #.5 CCHO + XC</t>
  </si>
  <si>
    <t>xCCHO + RO2C = RO2C + #.5 CCHO + XC</t>
  </si>
  <si>
    <t>xCCHO + RO2XC = RO2XC + #.5 CCHO + XC</t>
  </si>
  <si>
    <t>xRCHO + MEO2 = MEO2 + #.5 RCHO + #1.5 XC</t>
  </si>
  <si>
    <t>xRCHO + RO2C = RO2C + #.5 RCHO + #1.5 XC</t>
  </si>
  <si>
    <t>xRCHO + RO2XC = RO2XC + #.5 RCHO + #1.5 XC</t>
  </si>
  <si>
    <t>xACET + MEO2 = MEO2 + #.5 ACET + #1.5 XC</t>
  </si>
  <si>
    <t>xACET + RO2C = RO2C + #.5 ACET + #1.5 XC</t>
  </si>
  <si>
    <t>xACET + RO2XC = RO2XC + #.5 ACET + #1.5 XC</t>
  </si>
  <si>
    <t>xMEK + MEO2 = MEO2 + #.5 MEK + #2 XC</t>
  </si>
  <si>
    <t>xMEK + RO2C = RO2C + #.5 MEK + #2 XC</t>
  </si>
  <si>
    <t>xMEK + RO2XC = RO2XC + #.5 MEK + #2 XC</t>
  </si>
  <si>
    <t>xPROD2 + MEO2 = MEO2 + #.5 PROD2 + #3 XC</t>
  </si>
  <si>
    <t>xPROD2 + RO2C = RO2C + #.5 PROD2 + #3 XC</t>
  </si>
  <si>
    <t>xPROD2 + RO2XC = RO2XC + #.5 PROD2 + #3 XC</t>
  </si>
  <si>
    <t>xGLY + MEO2 = MEO2 + #.5 GLY + XC</t>
  </si>
  <si>
    <t>xGLY + RO2C = RO2C + #.5 GLY + XC</t>
  </si>
  <si>
    <t>xGLY + RO2XC = RO2XC + #.5 GLY + XC</t>
  </si>
  <si>
    <t>xMGLY + MEO2 = MEO2 + #.5 MGLY + #1.5 XC</t>
  </si>
  <si>
    <t>xMGLY + RO2C = RO2C + #.5 MGLY + #1.5 XC</t>
  </si>
  <si>
    <t>xMGLY + RO2XC = RO2XC + #.5 MGLY + #1.5 XC</t>
  </si>
  <si>
    <t>xBACL + MEO2 = MEO2 + #.5 BACL + #2 XC</t>
  </si>
  <si>
    <t>xBACL + RO2C = RO2C + #.5 BACL + #2 XC</t>
  </si>
  <si>
    <t>xBACL + RO2XC = RO2XC + #.5 BACL + #2 XC</t>
  </si>
  <si>
    <t>xBALD + MEO2 = MEO2 + #.5 BALD + #3.5 XC</t>
  </si>
  <si>
    <t>xBALD + RO2C = RO2C + #.5 BALD + #3.5 XC</t>
  </si>
  <si>
    <t>xBALD + RO2XC = RO2XC + #.5 BALD + #3.5 XC</t>
  </si>
  <si>
    <t>xAFG1 + MEO2 = MEO2 + #.5 AFG1 + #2.5 XC</t>
  </si>
  <si>
    <t>xAFG1 + RO2C = RO2C + #.5 AFG1 + #2.5 XC</t>
  </si>
  <si>
    <t>xAFG1 + RO2XC = RO2XC + #.5 AFG1 + #2.5 XC</t>
  </si>
  <si>
    <t>xAFG2 + MEO2 = MEO2 + #.5 AFG2 + #2.5 XC</t>
  </si>
  <si>
    <t>xAFG2 + RO2C = RO2C + #.5 AFG2 + #2.5 XC</t>
  </si>
  <si>
    <t>xAFG2 + RO2XC = RO2XC + #.5 AFG2 + #2.5 XC</t>
  </si>
  <si>
    <t>xAFG3 + MEO2 = MEO2 + #.5 AFG3 + #3.5 XC</t>
  </si>
  <si>
    <t>xAFG3 + RO2C = RO2C + #.5 AFG3 + #3.5 XC</t>
  </si>
  <si>
    <t>xAFG3 + RO2XC = RO2XC + #.5 AFG3 + #3.5 XC</t>
  </si>
  <si>
    <t>xMACR + MEO2 = MEO2 + #.5 MACR + #2 XC</t>
  </si>
  <si>
    <t>xMACR + RO2C = RO2C + #.5 MACR + #2 XC</t>
  </si>
  <si>
    <t>xMACR + RO2XC = RO2XC + #.5 MACR + #2 XC</t>
  </si>
  <si>
    <t>xMVK + MEO2 = MEO2 + #.5 MVK + #2 XC</t>
  </si>
  <si>
    <t>xMVK + RO2C = RO2C + #.5 MVK + #2 XC</t>
  </si>
  <si>
    <t>xMVK + RO2XC = RO2XC + #.5 MVK + #2 XC</t>
  </si>
  <si>
    <t>xIPRD + MEO2 = MEO2 + #.5 IPRD + #2.5 XC</t>
  </si>
  <si>
    <t>xIPRD + RO2C = RO2C + #.5 IPRD + #2.5 XC</t>
  </si>
  <si>
    <t>xIPRD + RO2XC = RO2XC + #.5 IPRD + #2.5 XC</t>
  </si>
  <si>
    <t>xRNO3 + MEO2 = MEO2 + #.5 {RNO3 + XN} + #3 XC</t>
  </si>
  <si>
    <t>xRNO3 + RO2C = RO2C + #.5 {RNO3 + XN} + #3 XC</t>
  </si>
  <si>
    <t>xRNO3 + RO2XC = RO2XC + #.5 {RNO3 + XN} + #3 XC</t>
  </si>
  <si>
    <t>xHOCCHO + MEO2 = MEO2 + #.5 HOCCHO + XC</t>
  </si>
  <si>
    <t>xHOCCHO + RO2C = RO2C + #.5 HOCCHO + XC</t>
  </si>
  <si>
    <t>xHOCCHO + RO2XC = RO2XC + #.5 HOCCHO + XC</t>
  </si>
  <si>
    <t>xACRO + MEO2 = MEO2 + #.5 ACRO + #1.5 XC</t>
  </si>
  <si>
    <t>xACRO + RO2C = RO2C + #.5 ACRO + #1.5 XC</t>
  </si>
  <si>
    <t>xACRO + RO2XC = RO2XC + #.5 ACRO + #1.5 XC</t>
  </si>
  <si>
    <t>xCL + MEO2 = MEO2 + #.5 CL</t>
  </si>
  <si>
    <t>xCL + RO2C = RO2C + #.5 CL</t>
  </si>
  <si>
    <t>xCL + RO2XC = RO2XC + #.5 CL</t>
  </si>
  <si>
    <t>xCLCCHO + MEO2 = MEO2 + #.5 CLCCHO + XC</t>
  </si>
  <si>
    <t>xCLCCHO + RO2C = RO2C + #.5 CLCCHO + XC</t>
  </si>
  <si>
    <t>xCLCCHO + RO2XC = RO2XC + #.5 CLCCHO + XC</t>
  </si>
  <si>
    <t>xCLACET + MEO2 = MEO2 + #.5 CLACET + #1.5 XC</t>
  </si>
  <si>
    <t>xCLACET + RO2C = RO2C + #.5 CLACET + #1.5 XC</t>
  </si>
  <si>
    <t>xCLACET + RO2XC = RO2XC + #.5 CLACET + #1.5 XC</t>
  </si>
  <si>
    <t>ROOH + CL = HCL + #.414 OH + #.588 RO2C + #.414 RCHO + #.104 xOH + #.482 xHO2 + #.106 xHCHO + #.104 xCCHO + #.197 xRCHO + #.285 xMEK + #.586 yROOH + #-0.287 XC</t>
  </si>
  <si>
    <t>CP14</t>
  </si>
  <si>
    <t>R6OOH + CL = HCL + #.145 OH + #1.078 RO2C + #.117 {RO2XC + zRNO3} + #.145 PROD2 + #.502 xOH + #.237 xHO2 + #.186 xCCHO + #.676 xRCHO + #.28 xPROD2 + #.855 yR6OOH + #.348 XC</t>
  </si>
  <si>
    <t>CP15</t>
  </si>
  <si>
    <t>CP16</t>
  </si>
  <si>
    <t>MACR + CL = #.25 HCL + #.165 MACO3 + #.802 RO2C + #.033 RO2XC + #.033 zRNO3 + #.802 xHO2 + #.541 xCO + #.082 xIPRD + #.18 xCLCCHO + #.541 xCLACET + #.835 yROOH + #.208 XC</t>
  </si>
  <si>
    <t>CP17</t>
  </si>
  <si>
    <t>MVK + CL = #1.283 RO2C + #.053 {RO2XC + zRNO3} + #.322 xHO2 + #.625 xMECO3 + #.947 xCLCCHO + yROOH + #.538 XC</t>
  </si>
  <si>
    <t>CP18</t>
  </si>
  <si>
    <t>IPRD + CL = #.401 HCL + #.084 HO2 + #.154 MACO3 + #.73 RO2C + #.051 RO2XC + #.051 zRNO3 + #.042 AFG1 + #.042 AFG2 + #.712 xHO2 + #.498 xCO + #.195 xHCHO + #.017 xMGLY + #.009 xAFG1 + #.009 xAFG2 + #.115 xIPRD + #.14 xCLCCHO + #.42 xCLACET + #.762 yR6OOH + #.709 XC</t>
  </si>
  <si>
    <t>Reactions of Chlorinated Organic Product Species</t>
  </si>
  <si>
    <t>CP19</t>
  </si>
  <si>
    <t>CLCCHO + HV = HO2 + CO + RO2C + xCL + xHCHO + yROOH</t>
  </si>
  <si>
    <t>CP20</t>
  </si>
  <si>
    <t>CLCCHO + OH = RCO3 + #-1 XC</t>
  </si>
  <si>
    <t>CP21</t>
  </si>
  <si>
    <t>CLCCHO + CL = HCL + RCO3 + #-1 XC</t>
  </si>
  <si>
    <t>CP22</t>
  </si>
  <si>
    <t>CLACET + HV = MECO3 + RO2C + xCL + xHCHO + yROOH</t>
  </si>
  <si>
    <t>Steady-State Peroxy Radical operators (for formation of chlorine radical and product species)</t>
  </si>
  <si>
    <t>CP23</t>
  </si>
  <si>
    <t>xCL = CL</t>
  </si>
  <si>
    <t>CP24</t>
  </si>
  <si>
    <t>xCL =</t>
  </si>
  <si>
    <t>CP25</t>
  </si>
  <si>
    <t>xCLCCHO = CLCCHO</t>
  </si>
  <si>
    <t>CP26</t>
  </si>
  <si>
    <t>xCLCCHO = #2 XC</t>
  </si>
  <si>
    <t>CP27</t>
  </si>
  <si>
    <t>xCLACET = CLACET</t>
  </si>
  <si>
    <t>CP28</t>
  </si>
  <si>
    <t>xCLACET = #3 XC</t>
  </si>
  <si>
    <t>CP29</t>
  </si>
  <si>
    <t>xCL + NO = NO + CL</t>
  </si>
  <si>
    <t>CP30</t>
  </si>
  <si>
    <t>xCL + HO2 = HO2</t>
  </si>
  <si>
    <t>CP31</t>
  </si>
  <si>
    <t>xCL + NO3 = NO3 + CL</t>
  </si>
  <si>
    <t>CP32</t>
  </si>
  <si>
    <t>CP33</t>
  </si>
  <si>
    <t>CP34</t>
  </si>
  <si>
    <t>CP35</t>
  </si>
  <si>
    <t>CP36</t>
  </si>
  <si>
    <t>CP37</t>
  </si>
  <si>
    <t>CP38</t>
  </si>
  <si>
    <t>CP39</t>
  </si>
  <si>
    <t>xCLCCHO + NO = NO + CLCCHO</t>
  </si>
  <si>
    <t>CP40</t>
  </si>
  <si>
    <t>xCLCCHO + HO2 = HO2 + #2 XC</t>
  </si>
  <si>
    <t>CP41</t>
  </si>
  <si>
    <t>xCLCCHO + NO3 = NO3 + CLCCHO</t>
  </si>
  <si>
    <t>CP42</t>
  </si>
  <si>
    <t>CP43</t>
  </si>
  <si>
    <t>CP44</t>
  </si>
  <si>
    <t>CP45</t>
  </si>
  <si>
    <t>CP46</t>
  </si>
  <si>
    <t>CP47</t>
  </si>
  <si>
    <t>CP48</t>
  </si>
  <si>
    <t>CP49</t>
  </si>
  <si>
    <t>xCLACET + NO = NO + CLACET</t>
  </si>
  <si>
    <t>CP50</t>
  </si>
  <si>
    <t>xCLACET + HO2 = HO2 + #3 XC</t>
  </si>
  <si>
    <t>CP51</t>
  </si>
  <si>
    <t>xCLACET + NO3 = NO3 + CLACET</t>
  </si>
  <si>
    <t>CP52</t>
  </si>
  <si>
    <t>CP53</t>
  </si>
  <si>
    <t>CP54</t>
  </si>
  <si>
    <t>CP55</t>
  </si>
  <si>
    <t>CP56</t>
  </si>
  <si>
    <t>CP57</t>
  </si>
  <si>
    <t>CP58</t>
  </si>
  <si>
    <t>Chlorine Reactions with Explicitly Represented Primary Organics</t>
  </si>
  <si>
    <t>CE01</t>
  </si>
  <si>
    <t>CH4 + CL = HCL + MEO2</t>
  </si>
  <si>
    <t>CE02</t>
  </si>
  <si>
    <t>CE03</t>
  </si>
  <si>
    <t>CE04</t>
  </si>
  <si>
    <t>ACETYLEN + CL = HO2 + CO + XC</t>
  </si>
  <si>
    <t>TOLUENE + CL = #.894 xHO2 + #.894 RO2C + #.106 RO2XC + #.106 zRNO3 + #.894 xBALD + #.106 XC</t>
  </si>
  <si>
    <t>M-XYLENE + CL = #.864 xHO2 + #.864 RO2C + #.136 RO2XC + #.136 zRNO3 + #.864 xBALD + #1.136 XC</t>
  </si>
  <si>
    <t>O-XYLENE + CL = #.864 xHO2 + #.864 RO2C + #.136 RO2XC + #.136 zRNO3 + #.864 xBALD + #1.136 XC</t>
  </si>
  <si>
    <t>P-XYLENE + CL = #.864 xHO2 + #.864 RO2C + #.136 RO2XC + #.136 zRNO3 + #.864 xBALD + #1.136 XC</t>
  </si>
  <si>
    <t>124-TMB + CL = #.838 xHO2 + #.838 RO2C + #.162 RO2XC + #.162 zRNO3 + #.838 xBALD + #2.162 XC</t>
  </si>
  <si>
    <t>BL01</t>
  </si>
  <si>
    <t>ALK1 + OH = xHO2 + RO2C + xCCHO + yROOH</t>
  </si>
  <si>
    <t>BL02</t>
  </si>
  <si>
    <t>ALK2 + OH = #.965 xHO2 + #.965 RO2C + #.035 RO2XC + #.035 zRNO3 + #.261 xRCHO + #.704 xACET + yROOH + #-.105 XC</t>
  </si>
  <si>
    <t>BL03</t>
  </si>
  <si>
    <t>ALK3 + OH = #.695 xHO2 + #.236 xTBUO + #1.253 RO2C + #.07 RO2XC + #.07 zRNO3 + #.026 xHCHO + #.445 xCCHO + #.122 xRCHO + #.024 xACET + #.332 xMEK + #.983 yROOH + #.017 yR6OOH + #-.046 XC</t>
  </si>
  <si>
    <t>BL04</t>
  </si>
  <si>
    <t>ALK4 + OH = #.83 xHO2 + #.01 xMEO2 + #.011 xMECO3 + #1.763 RO2C + #.149 RO2XC + #.149 zRNO3 + #.002 xCO + #.029 xHCHO + #.438 xCCHO + #.236 xRCHO + #.426 xACET + #.106 xMEK + #.146 xPROD2 + yR6OOH + #-.119 XC</t>
  </si>
  <si>
    <t>BL05</t>
  </si>
  <si>
    <t>ALK5 + OH = #.647 xHO2 + #1.605 RO2C + #.353 RO2XC + #.353 zRNO3 + #.04 xHCHO + #.106 xCCHO + #.209 xRCHO + #.071 xACET + #.086 xMEK + #.407 xPROD2 + yR6OOH + #2.004 XC</t>
  </si>
  <si>
    <t>BL06</t>
  </si>
  <si>
    <t>BL07</t>
  </si>
  <si>
    <t>BL08</t>
  </si>
  <si>
    <t>BL09</t>
  </si>
  <si>
    <t>BL10</t>
  </si>
  <si>
    <t>BL11</t>
  </si>
  <si>
    <t>BL12</t>
  </si>
  <si>
    <t>BL13</t>
  </si>
  <si>
    <t>BL14</t>
  </si>
  <si>
    <t>BL15</t>
  </si>
  <si>
    <t>BL16</t>
  </si>
  <si>
    <t>BL17</t>
  </si>
  <si>
    <t>BL18</t>
  </si>
  <si>
    <t>BL19</t>
  </si>
  <si>
    <t>SESQ + OH = #.734 xHO2 + #.064 xRCO3 + #1.211 RO2C + #.201 RO2XC + #.201 zRNO3 + #.001 xCO + #.411 xHCHO + #.385 xRCHO + #.037 xACET + #.007 xMEK + #.003 xMGLY + #.009 xBACL + #.003 xMVK + #.002 xIPRD + #.409 xPROD2 + yR6OOH + #9.375 XC</t>
  </si>
  <si>
    <t>RCO3 + RO2C = RO2C + xHO2 + xCCHO + yROOH + CO2</t>
  </si>
  <si>
    <t>RCO3 + RO2XC = RO2C + xHO2 + xCCHO + yROOH + CO2</t>
  </si>
  <si>
    <t>SESQ + O3 = #.078 HO2 + #.046 xHO2 + #.499 OH + #.202 xMECO3 + #.059 xRCO3 + #.49 RO2C + #.121 RO2XC + #.121 zRNO3 + #.249 CO + #.063 CO2 + #.127 HCHO + #.033 xHCHO + #.208 xRCHO + #.057 xACET + #.002 MEK + #.172 HCOOH + #.068 RCOOH + #.003 xMGLY + #.039 xBACL + #.002 xMACR + #.001 xIPRD + #.502 PROD2 + #.428 yR6OOH + #8.852 XC</t>
  </si>
  <si>
    <t>SESQ + NO3 = #.227 xHO2 + #.287 xNO2 + #.026 xRCO3 + #1.786 RO2C + #.46 RO2XC + #.46 zRNO3 + #.012 xCO + #.023 xHCHO + #.002 xCCHO + #.403 xRCHO + #.239 xACET + #.005 xMACR + #.001 xMVK + #.004 xIPRD + #.228 xRNO3 + yR6OOH + #.485 XN + #8.785 XC</t>
  </si>
  <si>
    <t>SESQ + O3P = #.237 RCHO + #.763 PROD2 + #9.711 XC</t>
  </si>
  <si>
    <t>SESQ + CL = #.252 xHO2 + #.068 xCL + #.034 xMECO3 + #.05 xRCO3 + #.016 xMACO3 + #2.258 RO2C + #.582 RO2XC + #.582 zRNO3 + #.548 HCL + #.035 xCO + #.158 xHCHO + #.185 xRCHO + #.274 xACET + #.007 xGLY + #.003 xBACL + #.003 xMVK + #.158 xIPRD + #.006 xAFG1 + #.006 xAFG2 + #.001 xAFG3 + #.109 xCLCCHO + yR6OOH + #8.543 XC</t>
  </si>
  <si>
    <t>Type and Name</t>
  </si>
  <si>
    <t>Description</t>
  </si>
  <si>
    <t>Type</t>
  </si>
  <si>
    <t>Mwt</t>
  </si>
  <si>
    <t>nC</t>
  </si>
  <si>
    <t>nN</t>
  </si>
  <si>
    <t>Species used in Base Mechanism</t>
  </si>
  <si>
    <t>Constant Species.</t>
  </si>
  <si>
    <t>O2</t>
  </si>
  <si>
    <t>Oxygen</t>
  </si>
  <si>
    <t>Con</t>
  </si>
  <si>
    <t>M</t>
  </si>
  <si>
    <t>Air</t>
  </si>
  <si>
    <t>H2O</t>
  </si>
  <si>
    <t>Water</t>
  </si>
  <si>
    <t>H2</t>
  </si>
  <si>
    <t>Hydrogen Molecules</t>
  </si>
  <si>
    <t>HV</t>
  </si>
  <si>
    <t>Light</t>
  </si>
  <si>
    <t>Active Inorganic Species.</t>
  </si>
  <si>
    <t>O3</t>
  </si>
  <si>
    <t>Ozone</t>
  </si>
  <si>
    <t>Act*</t>
  </si>
  <si>
    <t>NO</t>
  </si>
  <si>
    <t>Nitric Oxide</t>
  </si>
  <si>
    <t>NO2</t>
  </si>
  <si>
    <t>Nitrogen Dioxide</t>
  </si>
  <si>
    <t>NO3</t>
  </si>
  <si>
    <t>Nitrate Radical</t>
  </si>
  <si>
    <t>Act</t>
  </si>
  <si>
    <t>N2O5</t>
  </si>
  <si>
    <t>Nitrogen Pentoxide</t>
  </si>
  <si>
    <t>HONO</t>
  </si>
  <si>
    <t>Nitrous Acid</t>
  </si>
  <si>
    <t>HNO3</t>
  </si>
  <si>
    <t>Nitric Acid</t>
  </si>
  <si>
    <t>HNO4</t>
  </si>
  <si>
    <t>Peroxynitric Acid</t>
  </si>
  <si>
    <t>HO2H</t>
  </si>
  <si>
    <t>Hydrogen Peroxide</t>
  </si>
  <si>
    <t>CO</t>
  </si>
  <si>
    <t>Carbon Monoxide</t>
  </si>
  <si>
    <t>SO2</t>
  </si>
  <si>
    <t>Sulfur Dioxide</t>
  </si>
  <si>
    <t>BO</t>
  </si>
  <si>
    <t>Active Radical Species and Operators.</t>
  </si>
  <si>
    <t>OH</t>
  </si>
  <si>
    <t>Hydroxyl Radicals</t>
  </si>
  <si>
    <t>HO2</t>
  </si>
  <si>
    <t>Hydroperoxide Radicals</t>
  </si>
  <si>
    <t>MEO2</t>
  </si>
  <si>
    <t>Methyl Peroxy Radicals</t>
  </si>
  <si>
    <t>RO2C</t>
  </si>
  <si>
    <t>Peroxy Radical Operator representing NO to NO2 and NO3 to NO2 conversions, and the effects of peroxy radical reactions on acyl peroxy and other peroxy radicals.</t>
  </si>
  <si>
    <t>RO2XC</t>
  </si>
  <si>
    <t>Peroxy Radical Operator representing NO consumption (used in conjunction with organic nitrate formation), and the effects of peroxy radical reactions on NO3, acyl peroxy radicals, and other peroxy radicals.</t>
  </si>
  <si>
    <t>MECO3</t>
  </si>
  <si>
    <t>Acetyl Peroxy Radicals</t>
  </si>
  <si>
    <t>RCO3</t>
  </si>
  <si>
    <t>Peroxy Propionyl and higher peroxy acyl Radicals</t>
  </si>
  <si>
    <t>BZCO3</t>
  </si>
  <si>
    <t>Peroxyacyl radical formed from Aromatic Aldehydes</t>
  </si>
  <si>
    <t>MACO3</t>
  </si>
  <si>
    <t>Peroxyacyl radicals formed from methacrolein and other acroleins.</t>
  </si>
  <si>
    <t>Steady State Radical Species</t>
  </si>
  <si>
    <t>O3P</t>
  </si>
  <si>
    <t>Ground State Oxygen Atoms</t>
  </si>
  <si>
    <t>SS</t>
  </si>
  <si>
    <t>O1D</t>
  </si>
  <si>
    <t>Excited Oxygen Atoms</t>
  </si>
  <si>
    <t>TBUO</t>
  </si>
  <si>
    <t>t-Butoxy Radicals</t>
  </si>
  <si>
    <t>BZO</t>
  </si>
  <si>
    <t>Phenoxy Radicals</t>
  </si>
  <si>
    <t>PAN and PAN Analogues</t>
  </si>
  <si>
    <t>PAN</t>
  </si>
  <si>
    <t>Peroxy Acetyl Nitrate</t>
  </si>
  <si>
    <t>PAN2</t>
  </si>
  <si>
    <t>PPN and other higher alkyl PAN analogues</t>
  </si>
  <si>
    <t>PBZN</t>
  </si>
  <si>
    <t>PAN analogues formed from Aromatic Aldehydes</t>
  </si>
  <si>
    <t>MAPAN</t>
  </si>
  <si>
    <t>PAN analogue formed from Methacrolein</t>
  </si>
  <si>
    <t>Explicit and Lumped Molecule Reactive Organic Product Species</t>
  </si>
  <si>
    <t>HCHO</t>
  </si>
  <si>
    <t>Formaldehyde</t>
  </si>
  <si>
    <t>CCHO</t>
  </si>
  <si>
    <t>Acetaldehyde</t>
  </si>
  <si>
    <t>RCHO</t>
  </si>
  <si>
    <t>Lumped C3+ Aldehydes (mechanism based on propionaldehyde)</t>
  </si>
  <si>
    <t>HOCCHO</t>
  </si>
  <si>
    <t>Glycolaldehyde</t>
  </si>
  <si>
    <t>ACET</t>
  </si>
  <si>
    <t>Acetone</t>
  </si>
  <si>
    <t>MEK</t>
  </si>
  <si>
    <t>Ketones and other non-aldehyde oxygenated products which react with OH radicals faster than 5 x 10-13 but slower than 5 x 10-12 cm3 molec-2 sec-1. (Based on mechanism for methyl ethyl ketone).</t>
  </si>
  <si>
    <t>MEOH</t>
  </si>
  <si>
    <t>Methanol</t>
  </si>
  <si>
    <t>HCOOH</t>
  </si>
  <si>
    <t>Formic Acid</t>
  </si>
  <si>
    <t>CCOOH</t>
  </si>
  <si>
    <t>RCOOH</t>
  </si>
  <si>
    <t>COOH</t>
  </si>
  <si>
    <t>Methyl Hydroperoxide</t>
  </si>
  <si>
    <t>ROOH</t>
  </si>
  <si>
    <t>Lumped organic hydroperoxides with 2-4 carbons. Mechanism based on that estimated for n-propyl hydroperoxide.</t>
  </si>
  <si>
    <t>R6OOH</t>
  </si>
  <si>
    <t>Lumped organic hydroperoxides with 5 or more carbons (other than those formed following OH addition to aromatic rings, which is reprsented separately). Mechanism based on that estimated for 3-hexyl hydroperoxide.</t>
  </si>
  <si>
    <t>RAOOH</t>
  </si>
  <si>
    <t>Organic hydroperoxides formed following OH addition to aromatic rings, which is reprsented separately because of their probable role in SOA formation. Mechanism based on two isomers expected to be formed in the m-xylene system.</t>
  </si>
  <si>
    <t>GLY</t>
  </si>
  <si>
    <t>Glyoxal</t>
  </si>
  <si>
    <t>MGLY</t>
  </si>
  <si>
    <t>Methyl Glyoxal</t>
  </si>
  <si>
    <t>BACL</t>
  </si>
  <si>
    <t>Biacetyl</t>
  </si>
  <si>
    <t>CRES</t>
  </si>
  <si>
    <t>Phenols and Cresols</t>
  </si>
  <si>
    <t>NPHE</t>
  </si>
  <si>
    <t>Nitrophenols</t>
  </si>
  <si>
    <t>BALD</t>
  </si>
  <si>
    <t>Aromatic aldehydes (e.g., benzaldehyde)</t>
  </si>
  <si>
    <t>MACR</t>
  </si>
  <si>
    <t>Methacrolein</t>
  </si>
  <si>
    <t>MVK</t>
  </si>
  <si>
    <t>Methyl Vinyl Ketone</t>
  </si>
  <si>
    <t>IPRD</t>
  </si>
  <si>
    <t>Lumped isoprene product species</t>
  </si>
  <si>
    <t>Aromatic unsaturated ring fragmentation products</t>
  </si>
  <si>
    <t>AFG1</t>
  </si>
  <si>
    <t>Lumped photoreactive monounsaturated dicarbonyl aromatic fragmentation products that photolyze to form radicals</t>
  </si>
  <si>
    <t>AFG2</t>
  </si>
  <si>
    <t>Lumped photoreactive monounsaturated dicarbonyl aromatic fragmentation products that photolyze to form non-radical products</t>
  </si>
  <si>
    <t>AFG3</t>
  </si>
  <si>
    <t>NO2EX</t>
  </si>
  <si>
    <t>Electronically excited NO2 (only needed if reaction with H2O forming OH is non-negligible)</t>
  </si>
  <si>
    <t>Acrolein</t>
  </si>
  <si>
    <t>xACRO</t>
  </si>
  <si>
    <t>ETOH</t>
  </si>
  <si>
    <t>Ethanol</t>
  </si>
  <si>
    <t>Excited NO2 reactions (default is no net reaction)</t>
  </si>
  <si>
    <t>EX1</t>
  </si>
  <si>
    <t>NO2 + HV = NO2EX</t>
  </si>
  <si>
    <t>EX2</t>
  </si>
  <si>
    <t>NO2EX + M = NO2</t>
  </si>
  <si>
    <t>EX3</t>
  </si>
  <si>
    <t>NO2EX + H2O = NO2</t>
  </si>
  <si>
    <t>EXOH</t>
  </si>
  <si>
    <t>NO2EX + H2O = OH + HONO</t>
  </si>
  <si>
    <t>PAN2 + HV = #.6 {RCO3 + NO2} + #.4 {RO2C + xHO2 + yROOH + xCCHO + CO2 + NO3}</t>
  </si>
  <si>
    <t>PBZN + HV = #.6 {BZCO3 + NO2} + #.4 {CO2 + BZO + RO2C + NO3}</t>
  </si>
  <si>
    <t>MAPAN + HV = #.6 {MACO3 + NO2} + #.4 {CO2 + HCHO + MECO3 + NO3}</t>
  </si>
  <si>
    <t>BR66</t>
  </si>
  <si>
    <t>BR67</t>
  </si>
  <si>
    <t>BR68</t>
  </si>
  <si>
    <t>AFG1 + OH = #.217 MACO3 + #.723 RO2C + #.060 {RO2XC + zRNO3} + #.521 xHO2 + #.201 xMECO3 + #.334 xCO + #.407 xRCHO + #.129 xMEK + #.107 xGLY + #.267 xMGLY + #.783 yR6OOH + #.284 XC</t>
  </si>
  <si>
    <t>RO2C + MEO2 = #.5 HO2 + #.75 HCHO + #.25 MEOH</t>
  </si>
  <si>
    <t>RO2XC + MEO2 = #.5 HO2 + #.75 HCHO + #.25 MEOH</t>
  </si>
  <si>
    <t>AFG2 + OH = #.217 MACO3 + #.723 RO2C + #.060 {RO2XC + zRNO3} + #.521 xHO2 + #.201 xMECO3 + #.334 xCO + #.407 xRCHO + #.129 xMEK + #.107 xGLY + #.267 xMGLY + #.783 yR6OOH + #.284 XC</t>
  </si>
  <si>
    <t>AFG3 + OH = #.206 MACO3 + #.733 RO2C + #.117 {RO2XC + zRNO3} + #.561 xHO2 + #.117 xMECO3 + #.114 xCO + #.274 xGLY + #.153 xMGLY + #.019 xBACL + #.195 xAFG1 + #.195 xAFG2 + #.231 xIPRD + #.794 yR6OOH + #.938 XC</t>
  </si>
  <si>
    <t>AFG3 + O3 = #.471 OH + #.554 HO2 + #.013 MECO3 + #.258 RO2C + #.007 {RO2XC + zRNO3} + #.580 CO + #.190 CO2 + #.366 GLY + #.184 MGLY + #.350 AFG1 + #.350 AFG2 + #.139 AFG3 + #.003 MACR + #.004 MVK + #.003 IPRD + #.095 xHO2 + #.163 xRCO3 + #.163 xHCHO + #.095 xMGLY + #.264 yR6OOH + #-.575 XC</t>
  </si>
  <si>
    <t>MVK + OH = #.975 RO2C + #.025 {RO2XC + zRNO3} + #.3 xHO2 + #.675 xMECO3 + #.3 xHCHO + #.675 xHOCCHO + #.3 xMGLY + yROOH + #-0.05 XC</t>
  </si>
  <si>
    <t>Product Compounds Added for Toxics Version</t>
  </si>
  <si>
    <t>BP75</t>
  </si>
  <si>
    <t>ACRO + OH = #.25 xHO2 + #.75 MACO3 + #.25 RO2C + #.167 xCO + #.083 xHCHO + #.167 xCCHO + #.083 xGLY + #.25 yROOH + #-.75 XC</t>
  </si>
  <si>
    <t>BP76</t>
  </si>
  <si>
    <t>ACRO + O3 = #.83 HO2 + #.33 OH + #1.005 CO + #.31 CO2 + #.5 HCHO + #.185 HCOOH + #.5 GLY</t>
  </si>
  <si>
    <t>BP77</t>
  </si>
  <si>
    <t>ACRO + NO3 = #.031 xHO2 + #.967 MACO3 + #.031 RO2C + #.002 RO2XC + #.002 zRNO3 + #.967 HNO3 + #.031 xCO + #.031 xRNO3 + #.033 yROOH + #.002 XN + #-1.097 XC</t>
  </si>
  <si>
    <t>BP78</t>
  </si>
  <si>
    <t>ACRO + O3P = RCHO</t>
  </si>
  <si>
    <t>BP79</t>
  </si>
  <si>
    <t>ACRO + HV = #1.066 HO2 + #.178 OH + #.234 MEO2 + #.33 MACO3 + #1.188 CO + #.102 CO2 + #.34 HCHO + #.05 CCOOH + #-.284 XC</t>
  </si>
  <si>
    <t>xACRO = ACRO</t>
  </si>
  <si>
    <t>xACRO = #3 XC</t>
  </si>
  <si>
    <t>P001</t>
  </si>
  <si>
    <t>P002</t>
  </si>
  <si>
    <t>P003</t>
  </si>
  <si>
    <t>P004</t>
  </si>
  <si>
    <t>P005</t>
  </si>
  <si>
    <t>P006</t>
  </si>
  <si>
    <t>P007</t>
  </si>
  <si>
    <t>P008</t>
  </si>
  <si>
    <t>P009</t>
  </si>
  <si>
    <t>P010</t>
  </si>
  <si>
    <t>P011</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</si>
  <si>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</si>
  <si>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</si>
  <si>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</si>
  <si>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</si>
  <si>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</si>
  <si>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</si>
  <si>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</si>
  <si>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</si>
  <si>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</si>
  <si>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</si>
  <si>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</si>
  <si>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</si>
  <si>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</si>
  <si>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</si>
  <si>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</si>
  <si>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</si>
  <si>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</si>
  <si>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</si>
  <si>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</si>
  <si>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</si>
  <si>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</si>
  <si>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</si>
  <si>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</si>
  <si>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</si>
  <si>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</si>
  <si>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</si>
  <si>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</si>
  <si>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</si>
  <si>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</si>
  <si>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</si>
  <si>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P042</t>
  </si>
  <si>
    <t>P043</t>
  </si>
  <si>
    <t>P044</t>
  </si>
  <si>
    <t>P045</t>
  </si>
  <si>
    <t>P046</t>
  </si>
  <si>
    <t>P047</t>
  </si>
  <si>
    <t>P048</t>
  </si>
  <si>
    <t>P049</t>
  </si>
  <si>
    <t>P050</t>
  </si>
  <si>
    <t>P051</t>
  </si>
  <si>
    <t>P052</t>
  </si>
  <si>
    <t>P053</t>
  </si>
  <si>
    <t>P054</t>
  </si>
  <si>
    <t>xACRO + NO = NO + ACRO</t>
  </si>
  <si>
    <t>xACRO + HO2 = HO2 + #3 XC</t>
  </si>
  <si>
    <t>xACRO + NO3 = NO3 + ACRO</t>
  </si>
  <si>
    <t>CH4 + OH = MEO2</t>
  </si>
  <si>
    <t>ETHENE + OH = xHO2 + RO2C + #1.61 xHCHO + #.195 xHOCCHO + yROOH</t>
  </si>
  <si>
    <t>ETHENE + O3 = #.16 HO2 + #.16 OH + #.51 CO + #.12 CO2 + HCHO + #.37 HCOOH</t>
  </si>
  <si>
    <t>ETHENE + NO3 = xHO2 + RO2C + xRCHO + yROOH + XN + #-1 XC</t>
  </si>
  <si>
    <t>ETHENE + O3P = #.8 HO2 + #.29 xHO2 + #.51 MEO2 + #.29 RO2C + #.51 CO + #.278 xCO + #.278 xHCHO + #.1 CCHO + #.012 xGLY + #.29 yROOH + #.2 XC</t>
  </si>
  <si>
    <t>13-BUTDE + OH = #.951 xHO2 + #1.189 RO2C + #.049 RO2XC + #.049 zRNO3 + #.708 xHCHO + #.48 xACRO + #.471 xIPRD + yROOH + #-.797 XC</t>
  </si>
  <si>
    <t>13-BUTDE + O3 = #.08 HO2 + #.08 OH + #.255 CO + #.185 CO2 + #.5 HCHO + #.185 HCOOH + #.5 ACRO + #.375 MVK + #.125 PROD2 + #-.875 XC</t>
  </si>
  <si>
    <t>13-BUTDE + O3P = #.25 HO2 + #.117 xHO2 + #.118 xMACO3 + #.235 RO2C + #.015 RO2XC + #.015 zRNO3 + #.115 xCO + #.115 xACRO + #.001 xAFG1 + #.001 xAFG2 + #.75 PROD2 + #.25 yROOH + #-1.532 XC</t>
  </si>
  <si>
    <t>ISOPRENE + OH = #.907 xHO2 + #.986 RO2C + #.093 RO2XC + #.093 zRNO3 + #.624 xHCHO + #.23 xMACR + #.32 xMVK + #.357 xIPRD + yR6OOH + #-.167 XC</t>
  </si>
  <si>
    <t>ISOPRENE + O3 = #.066 HO2 + #.266 OH + #.192 xMACO3 + #.192 RO2C + #.008 RO2XC + #.008 zRNO3 + #.275 CO + #.122 CO2 + #.4 HCHO + #.192 xHCHO + #.204 HCOOH + #.39 MACR + #.16 MVK + #.15 IPRD + #.1 PROD2 + #.2 yR6OOH + #-.559 XC</t>
  </si>
  <si>
    <t>ISOPRENE + NO3 = #.749 xHO2 + #.187 xNO2 + #.936 RO2C + #.064 RO2XC + #.064 zRNO3 + #.936 xIPRD + yR6OOH + #.813 XN + #-.064 XC</t>
  </si>
  <si>
    <t>ISOPRENE + O3P = #.25 MEO2 + #.24 xMACO3 + #.24 RO2C + #.01 RO2XC + #.01 zRNO3 + #.24 xHCHO + #.75 PROD2 + #.25 yR6OOH + #-1.01 XC</t>
  </si>
  <si>
    <t>ACETYLEN + OH = #.3 HO2 + #.7 OH + #.3 CO + #.3 HCOOH + #.7 GLY</t>
  </si>
  <si>
    <t>ACETYLEN + O3 = #1.5 HO2 + #.5 OH + #1.5 CO + #.5 CO2</t>
  </si>
  <si>
    <t>BENZENE + OH = #.57 HO2 + #.29 xHO2 + #.116 OH + #.29 RO2C + #.024 RO2XC + #.024 zRNO3 + #.29 xGLY + #.57 CRES + #.029 xAFG1 + #.261 xAFG2 + #.116 AFG3 + #.314 yRAOOH + #-.976 XC</t>
  </si>
  <si>
    <t>TOLUENE + OH = #.181 HO2 + #.454 xHO2 + #.312 OH + #.454 RO2C + #.054 RO2XC + #.054 zRNO3 + #.238 xGLY + #.151 xMGLY + #.181 CRES + #.065 xBALD + #.195 xAFG1 + #.195 xAFG2 + #.312 AFG3 + #.073 yR6OOH + #.435 yRAOOH + #-.109 XC</t>
  </si>
  <si>
    <t>M-XYLENE + OH = #.159 HO2 + #.52 xHO2 + #.239 OH + #.52 RO2C + #.082 RO2XC + #.082 zRNO3 + #.1 xGLY + #.38 xMGLY + #.159 CRES + #.041 xBALD + #.336 xAFG1 + #.144 xAFG2 + #.239 AFG3 + #.047 yR6OOH + #.555 yRAOOH + #.695 XC</t>
  </si>
  <si>
    <t>Lumped diunsaturatred dicarbonyl aromatic fragmentation product.</t>
  </si>
  <si>
    <t>Lumped Parameter Products</t>
  </si>
  <si>
    <t>PROD2</t>
  </si>
  <si>
    <t>Ketones and other non-aldehyde oxygenated products which react with OH radicals faster than 5 x 10-12 cm3 molec-2 sec-1.</t>
  </si>
  <si>
    <t>RNO3</t>
  </si>
  <si>
    <t>Lumped Organic Nitrates</t>
  </si>
  <si>
    <t>Steady state operators used to represent radical or product formation in peroxy radical reactions.</t>
  </si>
  <si>
    <t>xHO2</t>
  </si>
  <si>
    <t>Formation of HO2 from alkoxy radicals formed in peroxy radical reactions with NO and NO3 (100% yields) and RO2 (50% yields)</t>
  </si>
  <si>
    <t>xOH</t>
  </si>
  <si>
    <t>As above, but for OH</t>
  </si>
  <si>
    <t>xNO2</t>
  </si>
  <si>
    <t>As above, but for NO2</t>
  </si>
  <si>
    <t>xMEO2</t>
  </si>
  <si>
    <t>As above, but for MEO2</t>
  </si>
  <si>
    <t>xMECO3</t>
  </si>
  <si>
    <t>As above, but for MECO3</t>
  </si>
  <si>
    <t>xRCO3</t>
  </si>
  <si>
    <t>As above, but for RCO3</t>
  </si>
  <si>
    <t>xMACO3</t>
  </si>
  <si>
    <t>As above, but for MACO3</t>
  </si>
  <si>
    <t>xTBUO</t>
  </si>
  <si>
    <t>As above, but for TBUO</t>
  </si>
  <si>
    <t>xCO</t>
  </si>
  <si>
    <t>As above, but for CO</t>
  </si>
  <si>
    <t>xHCHO</t>
  </si>
  <si>
    <t>As above, but for HCHO</t>
  </si>
  <si>
    <t>xCCHO</t>
  </si>
  <si>
    <t>As above, but for CCHO</t>
  </si>
  <si>
    <t>xRCHO</t>
  </si>
  <si>
    <t>As above, but for RCHO</t>
  </si>
  <si>
    <t>xHOCCHO</t>
  </si>
  <si>
    <t>As above, but for HOCCHO</t>
  </si>
  <si>
    <t>xACET</t>
  </si>
  <si>
    <t>As above, but for ACET</t>
  </si>
  <si>
    <t>xMEK</t>
  </si>
  <si>
    <t>As above, but for MEK</t>
  </si>
  <si>
    <t>xPROD2</t>
  </si>
  <si>
    <t>As above, but for PROD2</t>
  </si>
  <si>
    <t>xGLY</t>
  </si>
  <si>
    <t>As above, but for GLY</t>
  </si>
  <si>
    <t>xMGLY</t>
  </si>
  <si>
    <t>As above, but for MGLY</t>
  </si>
  <si>
    <t>xBACL</t>
  </si>
  <si>
    <t>As above, but for BACL</t>
  </si>
  <si>
    <t>xBALD</t>
  </si>
  <si>
    <t>As above, but for BALD</t>
  </si>
  <si>
    <t>xAFG1</t>
  </si>
  <si>
    <t>As above, but for AFG1</t>
  </si>
  <si>
    <t>xAFG2</t>
  </si>
  <si>
    <t>As above, but for AFG2</t>
  </si>
  <si>
    <t>xAFG3</t>
  </si>
  <si>
    <t>As above, but for AFG3</t>
  </si>
  <si>
    <t>xMACR</t>
  </si>
  <si>
    <t>As above, but for MACR</t>
  </si>
  <si>
    <t>xMVK</t>
  </si>
  <si>
    <t>As above, but for MVK</t>
  </si>
  <si>
    <t>xIPRD</t>
  </si>
  <si>
    <t>As above, but for IPRD</t>
  </si>
  <si>
    <t>xRNO3</t>
  </si>
  <si>
    <t>As above, but for RNO3</t>
  </si>
  <si>
    <t>zRNO3</t>
  </si>
  <si>
    <t>Formation of RNO3 in the RO2 + NO, reaction, or formation of corresponding non-nitrate products (represented by PROD2) formed from alkoxy radicals formed in RO2 + NO3 and (in 50% yields) RO2 + RO2 reactions.</t>
  </si>
  <si>
    <t>yROOH</t>
  </si>
  <si>
    <t>Formation of ROOH following RO2 + HO2 reactions, or formation of H-shift disproportionation products (represented by MEK) in the RO2 + RCO3 and (in 50% yields) RO2 + RO2 reactions.</t>
  </si>
  <si>
    <t>yR6OOH</t>
  </si>
  <si>
    <t>As above, but the RO2 + HO2 product is represented by R6OOH and the H-shift products are represented by PROD2.</t>
  </si>
  <si>
    <t>yRAOOH</t>
  </si>
  <si>
    <t>As above, but for RAOOH</t>
  </si>
  <si>
    <t>Non-Reacting Species</t>
  </si>
  <si>
    <t>CO2</t>
  </si>
  <si>
    <t>Carbon Dioxide</t>
  </si>
  <si>
    <t>SULF</t>
  </si>
  <si>
    <t>Sulfates (SO3 or H2SO4)</t>
  </si>
  <si>
    <t>XC</t>
  </si>
  <si>
    <t>Lost Carbon or carbon in unreactive products</t>
  </si>
  <si>
    <t>XN</t>
  </si>
  <si>
    <t>Lost Nitrogen or nitrogen in unreactive products</t>
  </si>
  <si>
    <t>Primary Organics Represented explicitly</t>
  </si>
  <si>
    <t>CH4</t>
  </si>
  <si>
    <t>Methane</t>
  </si>
  <si>
    <t>ETHENE</t>
  </si>
  <si>
    <t>Ethene</t>
  </si>
  <si>
    <t>PROPENE</t>
  </si>
  <si>
    <t>propene</t>
  </si>
  <si>
    <t>13-BUTDE</t>
  </si>
  <si>
    <t>1,3-butadiene</t>
  </si>
  <si>
    <t>ISOPRENE</t>
  </si>
  <si>
    <t>Isoprene</t>
  </si>
  <si>
    <t>A-PINENE</t>
  </si>
  <si>
    <t>a-pinene</t>
  </si>
  <si>
    <t>BENZENE</t>
  </si>
  <si>
    <t>Benzene</t>
  </si>
  <si>
    <t>TOLUENE</t>
  </si>
  <si>
    <t>toluene</t>
  </si>
  <si>
    <t>M-XYLENE</t>
  </si>
  <si>
    <t>m-xylene</t>
  </si>
  <si>
    <t>O-XYLENE</t>
  </si>
  <si>
    <t>o-xylene</t>
  </si>
  <si>
    <t>P-XYLENE</t>
  </si>
  <si>
    <t>p-xylene</t>
  </si>
  <si>
    <t>124-TMB</t>
  </si>
  <si>
    <t>1,2,4-trimethyl benzene</t>
  </si>
  <si>
    <t>ACETYLEN</t>
  </si>
  <si>
    <t>Acetylene</t>
  </si>
  <si>
    <t>Species used in Lumped Mechanisms for Base Case and Ambient Simulations</t>
  </si>
  <si>
    <t>ALK1</t>
  </si>
  <si>
    <t>Alkanes and other non-aromatic compounds that react only with OH, and have kOH between 2 and 5 x 102 ppm-1 min-1.  (Primarily ethane)</t>
  </si>
  <si>
    <t>ALK2</t>
  </si>
  <si>
    <t>Alkanes and other non-aromatic compounds that react only with OH, and have kOH between 5 x 102 and 2.5 x 103 ppm-1 min-1. (Primarily propane and acetylene)</t>
  </si>
  <si>
    <t>ALK3</t>
  </si>
  <si>
    <t>Alkanes and other non-aromatic compounds that react only with OH, and have kOH between 2.5 x 103 and 5 x 103 ppm-1 min-1.</t>
  </si>
  <si>
    <t>ALK4</t>
  </si>
  <si>
    <t>Higher organic acids (mechanism based on propionic acid).</t>
  </si>
  <si>
    <t>CCO3H</t>
  </si>
  <si>
    <t>Peroxyacetic acid</t>
  </si>
  <si>
    <t>RCO3H</t>
  </si>
  <si>
    <t>Higher organic peroxy acids (mechanism based on peroxypropionic acid).</t>
  </si>
  <si>
    <t>Acetic Acid.</t>
  </si>
  <si>
    <t>CCOOH + OH = #.509 {MEO2 + CO2} + #.491 {RO2C + xHO2 + xMGLY + yROOH} + #-.491 XC</t>
  </si>
  <si>
    <t>MECO3 + HO2 = #.7 {CCO3H + O2} + #.3  {CCOOH + O3}</t>
  </si>
  <si>
    <t>RCO3 + HO2 = #.75 {RCO3H + O2} + #.25 {RCOOH + O3}</t>
  </si>
  <si>
    <t>BZCO3 + HO2 = #.75 {RCO3H + O2} + #.25 {RCOOH + O3} + #4 XC</t>
  </si>
  <si>
    <t>MACO3 + HO2 = #.75 {RCO3H + O2} + #.25 {RCOOH + O3} + XC</t>
  </si>
  <si>
    <t>ACRO-09</t>
  </si>
  <si>
    <t>CCO3H + HV = MEO2 + CO2 + OH</t>
  </si>
  <si>
    <t>RCO3H + HV = xHO2 + xCCHO + yROOH + CO2 + OH</t>
  </si>
  <si>
    <t>BP80</t>
  </si>
  <si>
    <t>BP81</t>
  </si>
  <si>
    <t>BP82</t>
  </si>
  <si>
    <t>BP83</t>
  </si>
  <si>
    <t>PAA</t>
  </si>
  <si>
    <t>Alkanes and other non-aromatic compounds that react only with OH, and have kOH between 5 x 103 and 1 x 104 ppm-1 min-1.</t>
  </si>
  <si>
    <t>ALK5</t>
  </si>
  <si>
    <t>Alkanes and other non-aromatic compounds that react only with OH, and have kOH greater than 1 x 104 ppm-1 min-1.</t>
  </si>
  <si>
    <t>ARO1</t>
  </si>
  <si>
    <t>Aromatics with kOH &lt; 2x104 ppm-1 min-1.</t>
  </si>
  <si>
    <t>ARO2</t>
  </si>
  <si>
    <t>Aromatics with kOH &gt; 2x104 ppm-1 min-1.</t>
  </si>
  <si>
    <t>OLE1</t>
  </si>
  <si>
    <t>Alkenes (other than ethene) with kOH &lt; 7x104 ppm-1 min-1.</t>
  </si>
  <si>
    <t>OLE2</t>
  </si>
  <si>
    <t>Alkenes with kOH &gt; 7x104 ppm-1 min-1.</t>
  </si>
  <si>
    <t>TERP</t>
  </si>
  <si>
    <t>Terpenes</t>
  </si>
  <si>
    <t>SESQ</t>
  </si>
  <si>
    <t>Sesquiterpenes</t>
  </si>
  <si>
    <t>Chlorine Species</t>
  </si>
  <si>
    <t>CL2</t>
  </si>
  <si>
    <t>Chlorine molecules</t>
  </si>
  <si>
    <t>CLNO</t>
  </si>
  <si>
    <t>ClNO</t>
  </si>
  <si>
    <t>CLONO</t>
  </si>
  <si>
    <t>ClONO</t>
  </si>
  <si>
    <t>CLNO2</t>
  </si>
  <si>
    <t>ClNO2</t>
  </si>
  <si>
    <t>CLONO2</t>
  </si>
  <si>
    <t>ClONO2</t>
  </si>
  <si>
    <t>HOCL</t>
  </si>
  <si>
    <t>HOCl</t>
  </si>
  <si>
    <t>CL</t>
  </si>
  <si>
    <t>Chlorine atoms</t>
  </si>
  <si>
    <t>CLO</t>
  </si>
  <si>
    <t>ClO. Radicals</t>
  </si>
  <si>
    <t>Active Organic Product Species</t>
  </si>
  <si>
    <t>CLCCHO</t>
  </si>
  <si>
    <t>Chloroacetaldehyde (and other alpha-chloro aldehydes that are assumed to be similarly photoreactive)</t>
  </si>
  <si>
    <t>CLACET</t>
  </si>
  <si>
    <t>Chloroacetone (and other alpha-chloro ketones that are assumed to be similarly photoreactive)</t>
  </si>
  <si>
    <t>xCL</t>
  </si>
  <si>
    <t>Formation of Cl radicals from alkoxy radicals formed in peroxy radical reactions with NO and NO3 (100% yields) and RO2 (50% yields)</t>
  </si>
  <si>
    <t>xCLCCHO</t>
  </si>
  <si>
    <t>As above, but for CLCCHO</t>
  </si>
  <si>
    <t>xCLACET</t>
  </si>
  <si>
    <t>As above, but for CLACET</t>
  </si>
  <si>
    <t>Low Reactivity Compounds Represented as Unreactive</t>
  </si>
  <si>
    <t>HCL</t>
  </si>
  <si>
    <t>Hydrochloric acid</t>
  </si>
  <si>
    <t>CLCHO</t>
  </si>
  <si>
    <t>Formyl Chloride (assumed to be unreactive)</t>
  </si>
  <si>
    <t>B</t>
  </si>
  <si>
    <t>Max No. Products =</t>
  </si>
  <si>
    <t>Label</t>
  </si>
  <si>
    <t>Reaction and Products [a]</t>
  </si>
  <si>
    <t>Rate Parameters [b]</t>
  </si>
  <si>
    <t>k or k(inf)</t>
  </si>
  <si>
    <t>k(0)</t>
  </si>
  <si>
    <t>Falloff</t>
  </si>
  <si>
    <t>k or kinf</t>
  </si>
  <si>
    <t>Note:</t>
  </si>
  <si>
    <t>Old</t>
  </si>
  <si>
    <t>A</t>
  </si>
  <si>
    <t>Ea</t>
  </si>
  <si>
    <t>Tp</t>
  </si>
  <si>
    <t>Ref</t>
  </si>
  <si>
    <t>Fac</t>
  </si>
  <si>
    <t>Ea(T)</t>
  </si>
  <si>
    <t>A(0)</t>
  </si>
  <si>
    <t>B(0)</t>
  </si>
  <si>
    <t>F</t>
  </si>
  <si>
    <t>N</t>
  </si>
  <si>
    <t>kcal</t>
  </si>
  <si>
    <t>k0M</t>
  </si>
  <si>
    <t>Ea(0)</t>
  </si>
  <si>
    <t>kppm</t>
  </si>
  <si>
    <t>Notes</t>
  </si>
  <si>
    <t>ok</t>
  </si>
  <si>
    <t>C</t>
  </si>
  <si>
    <t>R</t>
  </si>
  <si>
    <t>Inorganic Reactions</t>
  </si>
  <si>
    <t>NO2 + HV = NO + O3P</t>
  </si>
  <si>
    <t>2,4</t>
  </si>
  <si>
    <t>P</t>
  </si>
  <si>
    <t>NO2-06</t>
  </si>
  <si>
    <t>O3P + O2 + M = O3 + M</t>
  </si>
  <si>
    <t>T</t>
  </si>
  <si>
    <t>O3P + O3 = #2 O2</t>
  </si>
  <si>
    <t/>
  </si>
  <si>
    <t>O3P + NO = NO2</t>
  </si>
  <si>
    <t>O3P + NO2 = NO + O2</t>
  </si>
  <si>
    <t>O3P + NO2 = NO3</t>
  </si>
  <si>
    <t>O3 + NO = NO2 + O2</t>
  </si>
  <si>
    <t>O3 + NO2 = O2 + NO3</t>
  </si>
  <si>
    <t>NO + NO3 = #2 NO2</t>
  </si>
  <si>
    <t>NO + NO + O2 = #2 NO2</t>
  </si>
  <si>
    <t>NO2 + NO3 = N2O5</t>
  </si>
  <si>
    <t>N2O5 = NO2 + NO3</t>
  </si>
  <si>
    <t>N2O5 + H2O = #2 HNO3</t>
  </si>
  <si>
    <t>N2O5 + H2O + H2O = #2 HNO3 + H2O</t>
  </si>
  <si>
    <t>N2O5 + HV = NO3 + NO + O3P</t>
  </si>
  <si>
    <t>(Slow)</t>
  </si>
  <si>
    <t>N2O5 + HV = NO3 + NO2</t>
  </si>
  <si>
    <t>NO2 + NO3 = NO + NO2 + O2</t>
  </si>
  <si>
    <t>NO3 + HV = NO + O2</t>
  </si>
  <si>
    <t>NO3NO-06</t>
  </si>
  <si>
    <t>NO3 + HV = NO2 + O3P</t>
  </si>
  <si>
    <t>NO3NO2-6</t>
  </si>
  <si>
    <t>O3 + HV = O1D + O2</t>
  </si>
  <si>
    <t>O3O1D-06</t>
  </si>
  <si>
    <t>O3 + HV = O3P + O2</t>
  </si>
  <si>
    <t>O3O3P-06</t>
  </si>
  <si>
    <t>O1D + H2O = #2 OH</t>
  </si>
  <si>
    <t>O1D + M = O3P + M</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</si>
</sst>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quot;;&quot;-&quot;"/>
    <numFmt numFmtId="165" formatCode="0.00e+0"/>
    <numFmt numFmtId="166" formatCode="0.0"/>
    <numFmt numFmtId="167" formatCode="0e+0;\-0e+0;&quot;-&quot;"/>
    <numFmt numFmtId="168" formatCode="0.00\ &quot;Atm&quot;"/>
    <numFmt numFmtId="169" formatCode="&quot;k(&quot;0&quot;)&quot;"/>
    <numFmt numFmtId="170" formatCode="&quot;ki(&quot;0&quot;)&quot;"/>
    <numFmt numFmtId="171" formatCode="&quot;k0(&quot;0&quot;)M&quot;"/>
    <numFmt numFmtId="172" formatCode="&quot;k0(&quot;0&quot;)&quot;"/>
    <numFmt numFmtId="173" formatCode="&quot;Total QY = &quot;0.000"/>
    <numFmt numFmtId="174" formatCode="0.00e+0;\-0.00e+0;&quot;-&quot;"/>
    <numFmt numFmtId="175" formatCode="&quot;yes&quot;;&quot;?&quot;;&quot;-&quot;"/>
    <numFmt numFmtId="176" formatCode="m/d/yy"/>
    <numFmt numFmtId="177" formatCode="[Red]0;&quot;?&quot;;&quot;ok&quot;"/>
  </numFmts>
  <fonts count="15">
    <font>
      <sz val="10"/>
      <name val="Arial"/>
      <family val="0"/>
    </font>
    <font>
      <b/>
      <sz val="10"/>
      <name val="Arial"/>
      <family val="0"/>
    </font>
    <font>
      <i/>
      <sz val="10"/>
      <name val="Arial"/>
      <family val="0"/>
    </font>
    <font>
      <b/>
      <i/>
      <sz val="10"/>
      <name val="Arial"/>
      <family val="0"/>
    </font>
    <font>
      <sz val="10"/>
      <color indexed="12"/>
      <name val="Arial"/>
      <family val="2"/>
    </font>
    <font>
      <u val="double"/>
      <sz val="10"/>
      <name val="Arial"/>
      <family val="2"/>
    </font>
    <font>
      <u val="single"/>
      <sz val="10"/>
      <name val="Arial"/>
      <family val="2"/>
    </font>
    <font>
      <b/>
      <sz val="10"/>
      <color indexed="12"/>
      <name val="Arial"/>
      <family val="2"/>
    </font>
    <font>
      <sz val="11"/>
      <name val="Times New Roman"/>
      <family val="1"/>
    </font>
    <font>
      <sz val="11"/>
      <color indexed="12"/>
      <name val="Times New Roman"/>
      <family val="1"/>
    </font>
    <font>
      <sz val="4"/>
      <name val="Times New Roman"/>
      <family val="1"/>
    </font>
    <font>
      <sz val="4"/>
      <name val="Arial"/>
      <family val="2"/>
    </font>
    <font>
      <b/>
      <sz val="4"/>
      <name val="Arial"/>
      <family val="2"/>
    </font>
    <font>
      <sz val="10"/>
      <color indexed="10"/>
      <name val="Arial"/>
      <family val="2"/>
    </font>
    <font>
      <b/>
      <sz val="12"/>
      <name val="Arial"/>
      <family val="2"/>
    </font>
  </fonts>
  <fills count="3">
    <fill>
      <patternFill/>
    </fill>
    <fill>
      <patternFill patternType="gray125"/>
    </fill>
    <fill>
      <patternFill patternType="solid">
        <fgColor indexed="22"/>
        <bgColor indexed="64"/>
      </patternFill>
    </fill>
  </fills>
  <borders count="11">
    <border>
      <left/>
      <right/>
      <top/>
      <bottom/>
      <diagonal/>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style="thin"/>
      <top>
        <color indexed="63"/>
      </top>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43">
    <xf numFmtId="0" fontId="0" fillId="0" borderId="0" xfId="0" applyAlignment="1">
      <alignment/>
    </xf>
    <xf numFmtId="0" fontId="0" fillId="0" borderId="0" xfId="0" applyFont="1" applyAlignment="1">
      <alignment vertical="top"/>
    </xf>
    <xf numFmtId="0" fontId="0" fillId="0" borderId="0" xfId="0" applyFont="1" applyAlignment="1">
      <alignment horizontal="center" vertical="top"/>
    </xf>
    <xf numFmtId="2" fontId="0" fillId="0" borderId="0" xfId="0" applyNumberFormat="1" applyFont="1" applyAlignment="1">
      <alignment horizontal="center" vertical="top"/>
    </xf>
    <xf numFmtId="0" fontId="0" fillId="0" borderId="1" xfId="0" applyFont="1" applyBorder="1" applyAlignment="1">
      <alignment vertical="center"/>
    </xf>
    <xf numFmtId="0" fontId="0" fillId="0" borderId="1" xfId="0" applyFont="1" applyBorder="1" applyAlignment="1">
      <alignment vertical="center" wrapText="1"/>
    </xf>
    <xf numFmtId="0" fontId="0" fillId="0" borderId="1" xfId="0" applyFont="1" applyBorder="1" applyAlignment="1">
      <alignment horizontal="center" vertical="center"/>
    </xf>
    <xf numFmtId="2" fontId="0" fillId="0" borderId="1" xfId="0" applyNumberFormat="1" applyFont="1" applyBorder="1" applyAlignment="1">
      <alignment horizontal="center" vertical="center"/>
    </xf>
    <xf numFmtId="0" fontId="5" fillId="0" borderId="0" xfId="0" applyFont="1" applyBorder="1" applyAlignment="1">
      <alignment horizontal="centerContinuous"/>
    </xf>
    <xf numFmtId="0" fontId="5" fillId="0" borderId="0" xfId="0" applyFont="1" applyBorder="1" applyAlignment="1">
      <alignment horizontal="centerContinuous" wrapText="1"/>
    </xf>
    <xf numFmtId="0" fontId="5" fillId="0" borderId="0" xfId="0" applyFont="1" applyBorder="1" applyAlignment="1">
      <alignment horizontal="center"/>
    </xf>
    <xf numFmtId="2" fontId="5" fillId="0" borderId="0" xfId="0" applyNumberFormat="1" applyFont="1" applyBorder="1" applyAlignment="1">
      <alignment horizontal="center"/>
    </xf>
    <xf numFmtId="0" fontId="5" fillId="0" borderId="0" xfId="0" applyFont="1" applyBorder="1" applyAlignment="1">
      <alignment/>
    </xf>
    <xf numFmtId="0" fontId="6" fillId="0" borderId="0" xfId="0" applyFont="1" applyAlignment="1">
      <alignment/>
    </xf>
    <xf numFmtId="0" fontId="0" fillId="0" borderId="0" xfId="0" applyFont="1" applyAlignment="1">
      <alignment vertical="top" wrapText="1"/>
    </xf>
    <xf numFmtId="2" fontId="4" fillId="0" borderId="0" xfId="0" applyNumberFormat="1" applyFont="1" applyAlignment="1">
      <alignment horizontal="center" vertical="top"/>
    </xf>
    <xf numFmtId="164" fontId="4" fillId="0" borderId="0" xfId="0" applyNumberFormat="1" applyFont="1" applyAlignment="1">
      <alignment horizontal="center" vertical="top"/>
    </xf>
    <xf numFmtId="164" fontId="0" fillId="0" borderId="0" xfId="0" applyNumberFormat="1" applyFont="1" applyAlignment="1">
      <alignment horizontal="center" vertical="top"/>
    </xf>
    <xf numFmtId="165" fontId="0" fillId="0" borderId="0" xfId="0" applyNumberFormat="1" applyFont="1" applyAlignment="1">
      <alignment horizontal="center" vertical="top"/>
    </xf>
    <xf numFmtId="0" fontId="1" fillId="0" borderId="0" xfId="0" applyFont="1" applyAlignment="1">
      <alignment horizontal="left" vertical="top"/>
    </xf>
    <xf numFmtId="0" fontId="1" fillId="0" borderId="0" xfId="0" applyFont="1" applyAlignment="1">
      <alignment horizontal="right" vertical="top"/>
    </xf>
    <xf numFmtId="0" fontId="0" fillId="2" borderId="2" xfId="0" applyFont="1" applyFill="1" applyBorder="1" applyAlignment="1">
      <alignment horizontal="center"/>
    </xf>
    <xf numFmtId="0" fontId="0" fillId="0" borderId="2" xfId="0" applyFont="1" applyBorder="1" applyAlignment="1">
      <alignment horizontal="left"/>
    </xf>
    <xf numFmtId="165" fontId="0" fillId="0" borderId="2" xfId="0" applyNumberFormat="1" applyFont="1" applyBorder="1" applyAlignment="1">
      <alignment horizontal="centerContinuous"/>
    </xf>
    <xf numFmtId="1" fontId="0" fillId="0" borderId="2" xfId="0" applyNumberFormat="1" applyFont="1" applyBorder="1" applyAlignment="1">
      <alignment horizontal="centerContinuous"/>
    </xf>
    <xf numFmtId="2" fontId="0" fillId="0" borderId="2" xfId="0" applyNumberFormat="1" applyFont="1" applyBorder="1" applyAlignment="1">
      <alignment horizontal="centerContinuous"/>
    </xf>
    <xf numFmtId="166" fontId="0" fillId="0" borderId="2" xfId="0" applyNumberFormat="1" applyFont="1" applyBorder="1" applyAlignment="1">
      <alignment horizontal="centerContinuous"/>
    </xf>
    <xf numFmtId="168" fontId="0" fillId="0" borderId="2" xfId="0" applyNumberFormat="1" applyFont="1" applyBorder="1" applyAlignment="1">
      <alignment horizontal="center"/>
    </xf>
    <xf numFmtId="0" fontId="1" fillId="0" borderId="2" xfId="0" applyFont="1" applyBorder="1" applyAlignment="1">
      <alignment horizontal="left"/>
    </xf>
    <xf numFmtId="0" fontId="0" fillId="2" borderId="3" xfId="0" applyFont="1" applyFill="1" applyBorder="1" applyAlignment="1">
      <alignment horizontal="center" vertical="top"/>
    </xf>
    <xf numFmtId="0" fontId="0" fillId="0" borderId="3" xfId="0" applyFont="1" applyBorder="1" applyAlignment="1">
      <alignment vertical="top"/>
    </xf>
    <xf numFmtId="165" fontId="0" fillId="0" borderId="3" xfId="0" applyNumberFormat="1" applyFont="1" applyBorder="1" applyAlignment="1">
      <alignment horizontal="center" vertical="top"/>
    </xf>
    <xf numFmtId="1" fontId="0" fillId="0" borderId="3" xfId="0" applyNumberFormat="1" applyFont="1" applyBorder="1" applyAlignment="1">
      <alignment horizontal="center" vertical="top"/>
    </xf>
    <xf numFmtId="2" fontId="0" fillId="0" borderId="3" xfId="0" applyNumberFormat="1" applyFont="1" applyBorder="1" applyAlignment="1">
      <alignment horizontal="center" vertical="top"/>
    </xf>
    <xf numFmtId="166" fontId="0" fillId="0" borderId="3" xfId="0" applyNumberFormat="1" applyFont="1" applyBorder="1" applyAlignment="1">
      <alignment horizontal="center" vertical="top"/>
    </xf>
    <xf numFmtId="171" fontId="0" fillId="0" borderId="3" xfId="0" applyNumberFormat="1" applyFont="1" applyBorder="1" applyAlignment="1">
      <alignment horizontal="center" vertical="top"/>
    </xf>
    <xf numFmtId="0" fontId="1" fillId="0" borderId="3" xfId="0" applyFont="1" applyBorder="1" applyAlignment="1">
      <alignment horizontal="left" vertical="top"/>
    </xf>
    <xf numFmtId="0" fontId="0" fillId="2" borderId="0" xfId="0" applyFont="1" applyFill="1" applyAlignment="1">
      <alignment horizontal="center"/>
    </xf>
    <xf numFmtId="0" fontId="0" fillId="0" borderId="0" xfId="0" applyFont="1" applyAlignment="1">
      <alignment horizontal="center"/>
    </xf>
    <xf numFmtId="0" fontId="0" fillId="2" borderId="0" xfId="0" applyFont="1" applyFill="1" applyAlignment="1">
      <alignment horizontal="center" vertical="top"/>
    </xf>
    <xf numFmtId="165" fontId="4" fillId="0" borderId="0" xfId="0" applyNumberFormat="1" applyFont="1" applyAlignment="1">
      <alignment horizontal="center" vertical="top"/>
    </xf>
    <xf numFmtId="1" fontId="0" fillId="0" borderId="0" xfId="0" applyNumberFormat="1" applyFont="1" applyAlignment="1">
      <alignment horizontal="center" vertical="top"/>
    </xf>
    <xf numFmtId="165" fontId="0" fillId="0" borderId="0" xfId="0" applyNumberFormat="1" applyFont="1" applyBorder="1" applyAlignment="1">
      <alignment horizontal="center" vertical="top"/>
    </xf>
    <xf numFmtId="2" fontId="0" fillId="0" borderId="0" xfId="0" applyNumberFormat="1" applyFont="1" applyBorder="1" applyAlignment="1">
      <alignment horizontal="center" vertical="top"/>
    </xf>
    <xf numFmtId="0" fontId="1" fillId="0" borderId="2" xfId="0" applyFont="1" applyBorder="1" applyAlignment="1">
      <alignment/>
    </xf>
    <xf numFmtId="169" fontId="0" fillId="0" borderId="3" xfId="0" applyNumberFormat="1" applyFont="1" applyBorder="1" applyAlignment="1">
      <alignment horizontal="center" vertical="top"/>
    </xf>
    <xf numFmtId="170" fontId="0" fillId="0" borderId="3" xfId="0" applyNumberFormat="1" applyFont="1" applyBorder="1" applyAlignment="1">
      <alignment horizontal="center" vertical="top"/>
    </xf>
    <xf numFmtId="172" fontId="0" fillId="0" borderId="3" xfId="0" applyNumberFormat="1" applyFont="1" applyBorder="1" applyAlignment="1">
      <alignment horizontal="center" vertical="top"/>
    </xf>
    <xf numFmtId="0" fontId="1" fillId="0" borderId="3" xfId="0" applyFont="1" applyBorder="1" applyAlignment="1">
      <alignment vertical="top"/>
    </xf>
    <xf numFmtId="0" fontId="0" fillId="0" borderId="0" xfId="0" applyFont="1" applyAlignment="1">
      <alignment horizontal="left" vertical="top"/>
    </xf>
    <xf numFmtId="0" fontId="0" fillId="0" borderId="0" xfId="0" applyFont="1" applyAlignment="1">
      <alignment/>
    </xf>
    <xf numFmtId="2" fontId="1" fillId="0" borderId="0" xfId="0" applyNumberFormat="1" applyFont="1" applyAlignment="1">
      <alignment horizontal="center" vertical="top"/>
    </xf>
    <xf numFmtId="166" fontId="0" fillId="0" borderId="0" xfId="0" applyNumberFormat="1" applyFont="1" applyAlignment="1">
      <alignment horizontal="center" vertical="top"/>
    </xf>
    <xf numFmtId="0" fontId="1" fillId="0" borderId="0" xfId="0" applyFont="1" applyAlignment="1">
      <alignment horizontal="center" vertical="center"/>
    </xf>
    <xf numFmtId="1" fontId="0" fillId="0" borderId="2" xfId="0" applyNumberFormat="1" applyFont="1" applyBorder="1" applyAlignment="1">
      <alignment horizontal="center"/>
    </xf>
    <xf numFmtId="1" fontId="0" fillId="2" borderId="2" xfId="0" applyNumberFormat="1" applyFont="1" applyFill="1" applyBorder="1" applyAlignment="1">
      <alignment horizontal="center"/>
    </xf>
    <xf numFmtId="0" fontId="7" fillId="0" borderId="0" xfId="0" applyFont="1" applyAlignment="1">
      <alignment horizontal="center" vertical="top"/>
    </xf>
    <xf numFmtId="9" fontId="0" fillId="0" borderId="0" xfId="19" applyFont="1" applyAlignment="1">
      <alignment horizontal="center" vertical="top"/>
    </xf>
    <xf numFmtId="167" fontId="0" fillId="0" borderId="0" xfId="0" applyNumberFormat="1" applyFont="1" applyAlignment="1">
      <alignment horizontal="center" vertical="top" shrinkToFit="1"/>
    </xf>
    <xf numFmtId="0" fontId="0" fillId="0" borderId="3" xfId="0" applyFont="1" applyBorder="1" applyAlignment="1">
      <alignment horizontal="left" vertical="top"/>
    </xf>
    <xf numFmtId="0" fontId="0" fillId="0" borderId="0" xfId="0" applyFont="1" applyAlignment="1">
      <alignment horizontal="center" vertical="center"/>
    </xf>
    <xf numFmtId="0" fontId="0" fillId="0" borderId="0" xfId="0" applyFont="1" applyAlignment="1">
      <alignment horizontal="left" vertical="center"/>
    </xf>
    <xf numFmtId="0" fontId="0" fillId="2" borderId="0" xfId="0" applyFont="1" applyFill="1" applyAlignment="1">
      <alignment horizontal="center" vertical="center"/>
    </xf>
    <xf numFmtId="0" fontId="1" fillId="0" borderId="2"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left"/>
    </xf>
    <xf numFmtId="0" fontId="1" fillId="0" borderId="6" xfId="0" applyFont="1" applyBorder="1" applyAlignment="1">
      <alignment/>
    </xf>
    <xf numFmtId="0" fontId="1" fillId="0" borderId="7" xfId="0" applyFont="1" applyBorder="1" applyAlignment="1">
      <alignment horizontal="left"/>
    </xf>
    <xf numFmtId="0" fontId="1" fillId="0" borderId="3" xfId="0" applyFont="1" applyBorder="1" applyAlignment="1">
      <alignment horizontal="center" vertical="top"/>
    </xf>
    <xf numFmtId="0" fontId="1" fillId="0" borderId="8" xfId="0" applyFont="1" applyBorder="1" applyAlignment="1">
      <alignment vertical="top"/>
    </xf>
    <xf numFmtId="0" fontId="1" fillId="0" borderId="9" xfId="0" applyFont="1" applyBorder="1" applyAlignment="1">
      <alignment horizontal="left" vertical="top"/>
    </xf>
    <xf numFmtId="2" fontId="1" fillId="0" borderId="3" xfId="0" applyNumberFormat="1" applyFont="1" applyBorder="1" applyAlignment="1">
      <alignment horizontal="center" vertical="top"/>
    </xf>
    <xf numFmtId="0" fontId="1" fillId="2" borderId="3" xfId="0" applyFont="1" applyFill="1" applyBorder="1" applyAlignment="1">
      <alignment vertical="top"/>
    </xf>
    <xf numFmtId="0" fontId="1" fillId="0" borderId="0" xfId="0" applyFont="1" applyAlignment="1">
      <alignment horizontal="center" vertical="top"/>
    </xf>
    <xf numFmtId="0" fontId="1" fillId="0" borderId="6" xfId="0" applyFont="1" applyBorder="1" applyAlignment="1">
      <alignment vertical="top"/>
    </xf>
    <xf numFmtId="0" fontId="1" fillId="0" borderId="10" xfId="0" applyFont="1" applyBorder="1" applyAlignment="1">
      <alignment horizontal="left" vertical="top"/>
    </xf>
    <xf numFmtId="0" fontId="1" fillId="0" borderId="0" xfId="0" applyFont="1" applyAlignment="1">
      <alignment vertical="top"/>
    </xf>
    <xf numFmtId="0" fontId="1" fillId="2" borderId="0" xfId="0" applyFont="1" applyFill="1" applyAlignment="1">
      <alignment vertical="top"/>
    </xf>
    <xf numFmtId="1" fontId="0" fillId="0" borderId="0" xfId="0" applyNumberFormat="1" applyFont="1" applyAlignment="1">
      <alignment horizontal="center" vertical="top" wrapText="1"/>
    </xf>
    <xf numFmtId="0" fontId="0" fillId="0" borderId="6" xfId="0" applyFont="1" applyBorder="1" applyAlignment="1">
      <alignment vertical="top"/>
    </xf>
    <xf numFmtId="0" fontId="0" fillId="0" borderId="10" xfId="0" applyFont="1" applyBorder="1" applyAlignment="1">
      <alignment horizontal="left" vertical="top"/>
    </xf>
    <xf numFmtId="0" fontId="0" fillId="2" borderId="0" xfId="0" applyFont="1" applyFill="1" applyAlignment="1">
      <alignment vertical="top"/>
    </xf>
    <xf numFmtId="0" fontId="0" fillId="0" borderId="0" xfId="0" applyFont="1" applyBorder="1" applyAlignment="1">
      <alignment vertical="top"/>
    </xf>
    <xf numFmtId="0" fontId="0" fillId="0" borderId="0" xfId="0" applyFont="1" applyBorder="1" applyAlignment="1">
      <alignment horizontal="left" vertical="top"/>
    </xf>
    <xf numFmtId="2" fontId="0" fillId="0" borderId="3" xfId="0" applyNumberFormat="1" applyFont="1" applyBorder="1" applyAlignment="1">
      <alignment horizontal="left" vertical="top"/>
    </xf>
    <xf numFmtId="0" fontId="1" fillId="2" borderId="0" xfId="0" applyFont="1" applyFill="1" applyAlignment="1">
      <alignment horizontal="center" vertical="top"/>
    </xf>
    <xf numFmtId="0" fontId="0" fillId="0" borderId="0" xfId="0" applyFont="1" applyAlignment="1">
      <alignment horizontal="left" vertical="top" wrapText="1"/>
    </xf>
    <xf numFmtId="0" fontId="0" fillId="0" borderId="2" xfId="0" applyFont="1" applyBorder="1" applyAlignment="1">
      <alignment/>
    </xf>
    <xf numFmtId="0" fontId="0" fillId="0" borderId="2" xfId="0" applyFont="1" applyBorder="1" applyAlignment="1">
      <alignment wrapText="1"/>
    </xf>
    <xf numFmtId="0" fontId="0" fillId="0" borderId="2" xfId="0" applyFont="1" applyBorder="1" applyAlignment="1">
      <alignment horizontal="left" wrapText="1"/>
    </xf>
    <xf numFmtId="1" fontId="0" fillId="0" borderId="2" xfId="0" applyNumberFormat="1" applyFont="1" applyBorder="1" applyAlignment="1">
      <alignment horizontal="center" wrapText="1"/>
    </xf>
    <xf numFmtId="1" fontId="0" fillId="0" borderId="3" xfId="0" applyNumberFormat="1" applyFont="1" applyBorder="1" applyAlignment="1">
      <alignment horizontal="center" vertical="top" wrapText="1"/>
    </xf>
    <xf numFmtId="0" fontId="0" fillId="0" borderId="0" xfId="0" applyFont="1" applyAlignment="1">
      <alignment horizontal="left"/>
    </xf>
    <xf numFmtId="0" fontId="0" fillId="0" borderId="1" xfId="0" applyFont="1" applyBorder="1" applyAlignment="1">
      <alignment horizontal="left" vertical="center"/>
    </xf>
    <xf numFmtId="0" fontId="5" fillId="0" borderId="0" xfId="0" applyFont="1" applyBorder="1" applyAlignment="1">
      <alignment horizontal="left"/>
    </xf>
    <xf numFmtId="165" fontId="8" fillId="0" borderId="0" xfId="0" applyNumberFormat="1" applyFont="1" applyAlignment="1">
      <alignment horizontal="center" vertical="top"/>
    </xf>
    <xf numFmtId="2" fontId="8" fillId="0" borderId="0" xfId="0" applyNumberFormat="1" applyFont="1" applyAlignment="1">
      <alignment horizontal="center" vertical="top"/>
    </xf>
    <xf numFmtId="165" fontId="9" fillId="0" borderId="0" xfId="0" applyNumberFormat="1" applyFont="1" applyAlignment="1">
      <alignment horizontal="centerContinuous" vertical="top"/>
    </xf>
    <xf numFmtId="165" fontId="8" fillId="0" borderId="0" xfId="0" applyNumberFormat="1" applyFont="1" applyAlignment="1">
      <alignment horizontal="centerContinuous" vertical="top"/>
    </xf>
    <xf numFmtId="2" fontId="8" fillId="0" borderId="0" xfId="0" applyNumberFormat="1" applyFont="1" applyAlignment="1">
      <alignment horizontal="centerContinuous" vertical="top"/>
    </xf>
    <xf numFmtId="165" fontId="9" fillId="0" borderId="0" xfId="0" applyNumberFormat="1" applyFont="1" applyAlignment="1">
      <alignment horizontal="center" vertical="top"/>
    </xf>
    <xf numFmtId="2" fontId="9" fillId="0" borderId="0" xfId="0" applyNumberFormat="1" applyFont="1" applyAlignment="1">
      <alignment horizontal="center" vertical="top"/>
    </xf>
    <xf numFmtId="0" fontId="9" fillId="0" borderId="0" xfId="0" applyFont="1" applyAlignment="1">
      <alignment horizontal="centerContinuous" vertical="top"/>
    </xf>
    <xf numFmtId="0" fontId="8" fillId="0" borderId="0" xfId="0" applyFont="1" applyAlignment="1">
      <alignment horizontal="centerContinuous" vertical="top"/>
    </xf>
    <xf numFmtId="0" fontId="9" fillId="0" borderId="0" xfId="0" applyFont="1" applyAlignment="1">
      <alignment horizontal="right" vertical="top"/>
    </xf>
    <xf numFmtId="169" fontId="10" fillId="0" borderId="0" xfId="0" applyNumberFormat="1" applyFont="1" applyBorder="1" applyAlignment="1">
      <alignment horizontal="center" vertical="top"/>
    </xf>
    <xf numFmtId="165" fontId="10" fillId="0" borderId="0" xfId="0" applyNumberFormat="1" applyFont="1" applyBorder="1" applyAlignment="1">
      <alignment horizontal="center" vertical="top"/>
    </xf>
    <xf numFmtId="2" fontId="10" fillId="0" borderId="0" xfId="0" applyNumberFormat="1" applyFont="1" applyBorder="1" applyAlignment="1">
      <alignment horizontal="center" vertical="top"/>
    </xf>
    <xf numFmtId="2" fontId="8" fillId="0" borderId="0" xfId="0" applyNumberFormat="1" applyFont="1" applyBorder="1" applyAlignment="1">
      <alignment horizontal="center" vertical="top"/>
    </xf>
    <xf numFmtId="0" fontId="0" fillId="0" borderId="0" xfId="0" applyFont="1" applyAlignment="1">
      <alignment horizontal="center"/>
    </xf>
    <xf numFmtId="1" fontId="1" fillId="0" borderId="0" xfId="0" applyNumberFormat="1" applyFont="1" applyAlignment="1">
      <alignment horizontal="center" vertical="top"/>
    </xf>
    <xf numFmtId="2" fontId="1" fillId="0" borderId="0" xfId="0" applyNumberFormat="1" applyFont="1" applyAlignment="1">
      <alignment horizontal="center" vertical="top"/>
    </xf>
    <xf numFmtId="165" fontId="1" fillId="0" borderId="0" xfId="0" applyNumberFormat="1" applyFont="1" applyAlignment="1">
      <alignment horizontal="center" vertical="top"/>
    </xf>
    <xf numFmtId="166" fontId="1" fillId="0" borderId="0" xfId="0" applyNumberFormat="1" applyFont="1" applyAlignment="1">
      <alignment horizontal="center" vertical="top"/>
    </xf>
    <xf numFmtId="1" fontId="0" fillId="0" borderId="0" xfId="0" applyNumberFormat="1" applyFont="1" applyAlignment="1">
      <alignment horizontal="center"/>
    </xf>
    <xf numFmtId="2" fontId="0" fillId="0" borderId="0" xfId="0" applyNumberFormat="1" applyFont="1" applyAlignment="1">
      <alignment horizontal="center"/>
    </xf>
    <xf numFmtId="165" fontId="0" fillId="0" borderId="0" xfId="0" applyNumberFormat="1" applyFont="1" applyAlignment="1">
      <alignment horizontal="center" vertical="top"/>
    </xf>
    <xf numFmtId="2" fontId="0" fillId="0" borderId="0" xfId="0" applyNumberFormat="1" applyFont="1" applyAlignment="1">
      <alignment horizontal="center" vertical="top"/>
    </xf>
    <xf numFmtId="166" fontId="0" fillId="0" borderId="0" xfId="0" applyNumberFormat="1" applyFont="1" applyAlignment="1">
      <alignment horizontal="center" vertical="top"/>
    </xf>
    <xf numFmtId="165" fontId="4" fillId="0" borderId="0" xfId="0" applyNumberFormat="1" applyFont="1" applyAlignment="1">
      <alignment horizontal="center" vertical="top"/>
    </xf>
    <xf numFmtId="1" fontId="0" fillId="0" borderId="0" xfId="0" applyNumberFormat="1" applyFont="1" applyAlignment="1">
      <alignment horizontal="center" vertical="top"/>
    </xf>
    <xf numFmtId="0" fontId="4" fillId="0" borderId="0" xfId="0" applyFont="1" applyAlignment="1">
      <alignment horizontal="center"/>
    </xf>
    <xf numFmtId="1" fontId="4" fillId="0" borderId="0" xfId="0" applyNumberFormat="1" applyFont="1" applyAlignment="1">
      <alignment horizontal="center" vertical="top"/>
    </xf>
    <xf numFmtId="165" fontId="12" fillId="0" borderId="0" xfId="0" applyNumberFormat="1" applyFont="1" applyBorder="1" applyAlignment="1">
      <alignment horizontal="center" vertical="top"/>
    </xf>
    <xf numFmtId="2" fontId="11" fillId="0" borderId="0" xfId="0" applyNumberFormat="1" applyFont="1" applyBorder="1" applyAlignment="1">
      <alignment horizontal="center" vertical="top"/>
    </xf>
    <xf numFmtId="1" fontId="12" fillId="0" borderId="0" xfId="0" applyNumberFormat="1" applyFont="1" applyBorder="1" applyAlignment="1">
      <alignment horizontal="center" vertical="top"/>
    </xf>
    <xf numFmtId="2" fontId="12" fillId="0" borderId="0" xfId="0" applyNumberFormat="1" applyFont="1" applyBorder="1" applyAlignment="1">
      <alignment horizontal="center" vertical="top"/>
    </xf>
    <xf numFmtId="166" fontId="12" fillId="0" borderId="0" xfId="0" applyNumberFormat="1" applyFont="1" applyBorder="1" applyAlignment="1">
      <alignment horizontal="center" vertical="top"/>
    </xf>
    <xf numFmtId="170" fontId="12" fillId="0" borderId="0" xfId="0" applyNumberFormat="1" applyFont="1" applyBorder="1" applyAlignment="1">
      <alignment horizontal="center" vertical="top"/>
    </xf>
    <xf numFmtId="171" fontId="12" fillId="0" borderId="0" xfId="0" applyNumberFormat="1" applyFont="1" applyBorder="1" applyAlignment="1">
      <alignment horizontal="center" vertical="top"/>
    </xf>
    <xf numFmtId="172" fontId="12" fillId="0" borderId="0" xfId="0" applyNumberFormat="1" applyFont="1" applyBorder="1" applyAlignment="1">
      <alignment horizontal="center" vertical="top"/>
    </xf>
    <xf numFmtId="165" fontId="13" fillId="0" borderId="0" xfId="0" applyNumberFormat="1" applyFont="1" applyAlignment="1">
      <alignment horizontal="center" vertical="top"/>
    </xf>
    <xf numFmtId="165" fontId="0" fillId="0" borderId="0" xfId="0" applyNumberFormat="1" applyFont="1" applyBorder="1" applyAlignment="1">
      <alignment horizontal="center" vertical="top"/>
    </xf>
    <xf numFmtId="1" fontId="0" fillId="0" borderId="0" xfId="0" applyNumberFormat="1" applyFont="1" applyBorder="1" applyAlignment="1">
      <alignment horizontal="center" vertical="top"/>
    </xf>
    <xf numFmtId="2" fontId="0" fillId="0" borderId="0" xfId="0" applyNumberFormat="1" applyFont="1" applyBorder="1" applyAlignment="1">
      <alignment horizontal="center" vertical="top"/>
    </xf>
    <xf numFmtId="166" fontId="0" fillId="0" borderId="0" xfId="0" applyNumberFormat="1" applyFont="1" applyBorder="1" applyAlignment="1">
      <alignment horizontal="center" vertical="top"/>
    </xf>
    <xf numFmtId="0" fontId="0" fillId="0" borderId="0" xfId="0" applyNumberFormat="1" applyFont="1" applyAlignment="1">
      <alignment horizontal="center" vertical="top"/>
    </xf>
    <xf numFmtId="0" fontId="8" fillId="0" borderId="0" xfId="0" applyFont="1" applyAlignment="1">
      <alignment horizontal="right" vertical="top"/>
    </xf>
    <xf numFmtId="165" fontId="8" fillId="0" borderId="0" xfId="0" applyNumberFormat="1" applyFont="1" applyAlignment="1">
      <alignment horizontal="left" vertical="top"/>
    </xf>
    <xf numFmtId="0" fontId="14" fillId="0" borderId="0" xfId="0" applyFont="1" applyAlignment="1">
      <alignment/>
    </xf>
    <xf numFmtId="176" fontId="1" fillId="0" borderId="0" xfId="0" applyNumberFormat="1" applyFont="1" applyAlignment="1">
      <alignment horizontal="center" vertical="top"/>
    </xf>
    <xf numFmtId="0" fontId="8" fillId="0" borderId="0" xfId="0" applyFont="1" applyAlignment="1">
      <alignment horizontal="left" vertical="top"/>
    </xf>
    <xf numFmtId="0" fontId="4" fillId="0" borderId="0" xfId="0" applyFont="1" applyAlignment="1">
      <alignment horizontal="lef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work\saprc07\Mech07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nks and Change Log"/>
      <sheetName val="Lumping"/>
      <sheetName val="Species Listing"/>
      <sheetName val="Reaction Listing"/>
      <sheetName val="Base Mech Notes"/>
      <sheetName val="Product Changes"/>
      <sheetName val="QS rxns"/>
      <sheetName val="xOperators"/>
      <sheetName val="RO2 operators"/>
      <sheetName val="Workbook names"/>
      <sheetName val="WRITK"/>
      <sheetName val="Sheets"/>
      <sheetName val="Util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I163"/>
  <sheetViews>
    <sheetView workbookViewId="0" topLeftCell="A1">
      <pane ySplit="3" topLeftCell="BM4" activePane="bottomLeft" state="frozen"/>
      <selection pane="topLeft" activeCell="A1" sqref="A1"/>
      <selection pane="bottomLeft" activeCell="D1" sqref="D1"/>
    </sheetView>
  </sheetViews>
  <sheetFormatPr defaultColWidth="9.140625" defaultRowHeight="12.75"/>
  <cols>
    <col min="1" max="1" width="1.8515625" style="13" customWidth="1"/>
    <col min="2" max="2" width="15.00390625" style="1" customWidth="1"/>
    <col min="3" max="3" width="74.421875" style="14" customWidth="1"/>
    <col min="4" max="4" width="9.140625" style="2" customWidth="1"/>
    <col min="5" max="5" width="7.57421875" style="3" customWidth="1"/>
    <col min="6" max="7" width="4.7109375" style="2" customWidth="1"/>
    <col min="8" max="9" width="7.57421875" style="49" customWidth="1"/>
    <col min="10" max="16384" width="9.140625" style="1" customWidth="1"/>
  </cols>
  <sheetData>
    <row r="1" spans="1:4" ht="15.75">
      <c r="A1" s="139" t="s">
        <v>1061</v>
      </c>
      <c r="D1" s="140">
        <v>40178</v>
      </c>
    </row>
    <row r="2" spans="1:3" ht="12.75">
      <c r="A2" s="1"/>
      <c r="B2" s="56">
        <f>COUNTA(B4:B164)</f>
        <v>141</v>
      </c>
      <c r="C2" s="1"/>
    </row>
    <row r="3" spans="1:9" s="4" customFormat="1" ht="12.75">
      <c r="A3" s="4" t="s">
        <v>1395</v>
      </c>
      <c r="C3" s="5" t="s">
        <v>1396</v>
      </c>
      <c r="D3" s="6" t="s">
        <v>1397</v>
      </c>
      <c r="E3" s="7" t="s">
        <v>1398</v>
      </c>
      <c r="F3" s="6" t="s">
        <v>1399</v>
      </c>
      <c r="G3" s="6" t="s">
        <v>1400</v>
      </c>
      <c r="H3" s="93" t="s">
        <v>856</v>
      </c>
      <c r="I3" s="93"/>
    </row>
    <row r="4" spans="1:9" s="12" customFormat="1" ht="12.75">
      <c r="A4" s="8" t="s">
        <v>1401</v>
      </c>
      <c r="B4" s="8"/>
      <c r="C4" s="9"/>
      <c r="D4" s="10"/>
      <c r="E4" s="11"/>
      <c r="F4" s="10"/>
      <c r="G4" s="10"/>
      <c r="H4" s="94"/>
      <c r="I4" s="94"/>
    </row>
    <row r="5" ht="12.75">
      <c r="A5" s="13" t="s">
        <v>1402</v>
      </c>
    </row>
    <row r="6" spans="2:8" ht="12.75">
      <c r="B6" s="1" t="s">
        <v>1403</v>
      </c>
      <c r="C6" s="14" t="s">
        <v>1404</v>
      </c>
      <c r="D6" s="2" t="s">
        <v>1405</v>
      </c>
      <c r="E6" s="3">
        <v>31.9988</v>
      </c>
      <c r="F6" s="2">
        <v>0</v>
      </c>
      <c r="G6" s="2">
        <v>0</v>
      </c>
      <c r="H6" s="49" t="s">
        <v>1861</v>
      </c>
    </row>
    <row r="7" spans="2:8" ht="12.75">
      <c r="B7" s="1" t="s">
        <v>1406</v>
      </c>
      <c r="C7" s="14" t="s">
        <v>1407</v>
      </c>
      <c r="D7" s="2" t="s">
        <v>1405</v>
      </c>
      <c r="E7" s="3">
        <v>28.84890756</v>
      </c>
      <c r="F7" s="2">
        <v>0</v>
      </c>
      <c r="G7" s="2">
        <v>0</v>
      </c>
      <c r="H7" s="49" t="s">
        <v>1861</v>
      </c>
    </row>
    <row r="8" spans="2:8" ht="12.75">
      <c r="B8" s="1" t="s">
        <v>1408</v>
      </c>
      <c r="C8" s="14" t="s">
        <v>1409</v>
      </c>
      <c r="D8" s="2" t="s">
        <v>1405</v>
      </c>
      <c r="E8" s="3">
        <v>18.0154</v>
      </c>
      <c r="F8" s="2">
        <v>0</v>
      </c>
      <c r="G8" s="2">
        <v>0</v>
      </c>
      <c r="H8" s="49" t="s">
        <v>1861</v>
      </c>
    </row>
    <row r="9" spans="2:8" ht="12.75">
      <c r="B9" s="1" t="s">
        <v>1410</v>
      </c>
      <c r="C9" s="14" t="s">
        <v>1411</v>
      </c>
      <c r="D9" s="2" t="s">
        <v>1405</v>
      </c>
      <c r="E9" s="3">
        <v>2.016</v>
      </c>
      <c r="F9" s="2">
        <v>0</v>
      </c>
      <c r="G9" s="2">
        <v>0</v>
      </c>
      <c r="H9" s="49" t="s">
        <v>1861</v>
      </c>
    </row>
    <row r="10" spans="2:8" ht="12.75">
      <c r="B10" s="1" t="s">
        <v>1412</v>
      </c>
      <c r="C10" s="14" t="s">
        <v>1413</v>
      </c>
      <c r="D10" s="2" t="s">
        <v>1405</v>
      </c>
      <c r="E10" s="3">
        <v>0</v>
      </c>
      <c r="F10" s="2">
        <v>0</v>
      </c>
      <c r="G10" s="2">
        <v>0</v>
      </c>
      <c r="H10" s="49" t="s">
        <v>1861</v>
      </c>
    </row>
    <row r="11" spans="1:8" ht="12.75">
      <c r="A11" s="13" t="s">
        <v>1414</v>
      </c>
      <c r="H11" s="49" t="s">
        <v>1861</v>
      </c>
    </row>
    <row r="12" spans="2:8" ht="12.75">
      <c r="B12" s="1" t="s">
        <v>1415</v>
      </c>
      <c r="C12" s="14" t="s">
        <v>1416</v>
      </c>
      <c r="D12" s="2" t="s">
        <v>1417</v>
      </c>
      <c r="E12" s="3">
        <v>47.9982</v>
      </c>
      <c r="F12" s="2">
        <v>0</v>
      </c>
      <c r="G12" s="2">
        <v>0</v>
      </c>
      <c r="H12" s="49" t="s">
        <v>1861</v>
      </c>
    </row>
    <row r="13" spans="2:8" ht="12.75">
      <c r="B13" s="1" t="s">
        <v>1418</v>
      </c>
      <c r="C13" s="14" t="s">
        <v>1419</v>
      </c>
      <c r="D13" s="2" t="s">
        <v>1417</v>
      </c>
      <c r="E13" s="3">
        <v>30.01</v>
      </c>
      <c r="F13" s="2">
        <v>0</v>
      </c>
      <c r="G13" s="2">
        <v>1</v>
      </c>
      <c r="H13" s="49" t="s">
        <v>1861</v>
      </c>
    </row>
    <row r="14" spans="2:8" ht="12.75">
      <c r="B14" s="1" t="s">
        <v>1420</v>
      </c>
      <c r="C14" s="14" t="s">
        <v>1421</v>
      </c>
      <c r="D14" s="2" t="s">
        <v>1417</v>
      </c>
      <c r="E14" s="3">
        <v>46.01</v>
      </c>
      <c r="F14" s="2">
        <v>0</v>
      </c>
      <c r="G14" s="2">
        <v>1</v>
      </c>
      <c r="H14" s="49" t="s">
        <v>1861</v>
      </c>
    </row>
    <row r="15" spans="2:8" ht="12.75">
      <c r="B15" s="1" t="s">
        <v>1422</v>
      </c>
      <c r="C15" s="14" t="s">
        <v>1423</v>
      </c>
      <c r="D15" s="2" t="s">
        <v>1424</v>
      </c>
      <c r="E15" s="3">
        <v>62.01</v>
      </c>
      <c r="F15" s="2">
        <v>0</v>
      </c>
      <c r="G15" s="2">
        <v>1</v>
      </c>
      <c r="H15" s="49" t="s">
        <v>1861</v>
      </c>
    </row>
    <row r="16" spans="2:8" ht="12.75">
      <c r="B16" s="1" t="s">
        <v>1425</v>
      </c>
      <c r="C16" s="14" t="s">
        <v>1426</v>
      </c>
      <c r="D16" s="2" t="s">
        <v>1424</v>
      </c>
      <c r="E16" s="3">
        <v>108.02</v>
      </c>
      <c r="F16" s="2">
        <v>0</v>
      </c>
      <c r="G16" s="2">
        <v>2</v>
      </c>
      <c r="H16" s="49" t="s">
        <v>1861</v>
      </c>
    </row>
    <row r="17" spans="2:8" ht="12.75">
      <c r="B17" s="1" t="s">
        <v>1427</v>
      </c>
      <c r="C17" s="14" t="s">
        <v>1428</v>
      </c>
      <c r="D17" s="2" t="s">
        <v>1424</v>
      </c>
      <c r="E17" s="3">
        <v>47.02</v>
      </c>
      <c r="F17" s="2">
        <v>0</v>
      </c>
      <c r="G17" s="2">
        <v>1</v>
      </c>
      <c r="H17" s="49" t="s">
        <v>1861</v>
      </c>
    </row>
    <row r="18" spans="2:8" ht="12.75">
      <c r="B18" s="1" t="s">
        <v>1429</v>
      </c>
      <c r="C18" s="14" t="s">
        <v>1430</v>
      </c>
      <c r="D18" s="2" t="s">
        <v>1424</v>
      </c>
      <c r="E18" s="3">
        <v>63.02</v>
      </c>
      <c r="F18" s="2">
        <v>0</v>
      </c>
      <c r="G18" s="2">
        <v>1</v>
      </c>
      <c r="H18" s="49" t="s">
        <v>1861</v>
      </c>
    </row>
    <row r="19" spans="2:8" ht="12.75">
      <c r="B19" s="1" t="s">
        <v>1431</v>
      </c>
      <c r="C19" s="14" t="s">
        <v>1432</v>
      </c>
      <c r="D19" s="2" t="s">
        <v>1424</v>
      </c>
      <c r="E19" s="3">
        <v>79.02</v>
      </c>
      <c r="F19" s="2">
        <v>0</v>
      </c>
      <c r="G19" s="2">
        <v>1</v>
      </c>
      <c r="H19" s="49" t="s">
        <v>1861</v>
      </c>
    </row>
    <row r="20" spans="2:8" ht="12.75">
      <c r="B20" s="1" t="s">
        <v>1433</v>
      </c>
      <c r="C20" s="14" t="s">
        <v>1434</v>
      </c>
      <c r="D20" s="2" t="s">
        <v>1424</v>
      </c>
      <c r="E20" s="3">
        <v>34.0148</v>
      </c>
      <c r="F20" s="2">
        <v>0</v>
      </c>
      <c r="G20" s="2">
        <v>0</v>
      </c>
      <c r="H20" s="49" t="s">
        <v>1861</v>
      </c>
    </row>
    <row r="21" spans="2:8" ht="12.75">
      <c r="B21" s="1" t="s">
        <v>1435</v>
      </c>
      <c r="C21" s="14" t="s">
        <v>1436</v>
      </c>
      <c r="D21" s="2" t="s">
        <v>1424</v>
      </c>
      <c r="E21" s="3">
        <v>28.01</v>
      </c>
      <c r="F21" s="2">
        <v>1</v>
      </c>
      <c r="G21" s="2">
        <v>0</v>
      </c>
      <c r="H21" s="49" t="s">
        <v>1861</v>
      </c>
    </row>
    <row r="22" spans="2:8" ht="12.75">
      <c r="B22" s="1" t="s">
        <v>1437</v>
      </c>
      <c r="C22" s="14" t="s">
        <v>1438</v>
      </c>
      <c r="D22" s="2" t="s">
        <v>1424</v>
      </c>
      <c r="E22" s="3">
        <v>64.0628</v>
      </c>
      <c r="F22" s="2">
        <v>0</v>
      </c>
      <c r="G22" s="2">
        <v>0</v>
      </c>
      <c r="H22" s="49" t="s">
        <v>1861</v>
      </c>
    </row>
    <row r="23" spans="1:8" ht="12.75">
      <c r="A23" s="13" t="s">
        <v>1440</v>
      </c>
      <c r="H23" s="49" t="s">
        <v>1861</v>
      </c>
    </row>
    <row r="24" spans="2:8" ht="12.75">
      <c r="B24" s="1" t="s">
        <v>1441</v>
      </c>
      <c r="C24" s="14" t="s">
        <v>1442</v>
      </c>
      <c r="D24" s="2" t="s">
        <v>1417</v>
      </c>
      <c r="E24" s="3">
        <v>17.0074</v>
      </c>
      <c r="F24" s="2">
        <v>0</v>
      </c>
      <c r="G24" s="2">
        <v>0</v>
      </c>
      <c r="H24" s="49" t="s">
        <v>1861</v>
      </c>
    </row>
    <row r="25" spans="2:8" ht="12.75">
      <c r="B25" s="1" t="s">
        <v>1443</v>
      </c>
      <c r="C25" s="14" t="s">
        <v>1444</v>
      </c>
      <c r="D25" s="2" t="s">
        <v>1424</v>
      </c>
      <c r="E25" s="3">
        <v>33.01</v>
      </c>
      <c r="F25" s="2">
        <v>0</v>
      </c>
      <c r="G25" s="2">
        <v>0</v>
      </c>
      <c r="H25" s="49" t="s">
        <v>1861</v>
      </c>
    </row>
    <row r="26" spans="2:8" ht="12.75">
      <c r="B26" s="1" t="s">
        <v>1445</v>
      </c>
      <c r="C26" s="14" t="s">
        <v>1446</v>
      </c>
      <c r="D26" s="2" t="s">
        <v>1424</v>
      </c>
      <c r="E26" s="3">
        <v>47.03</v>
      </c>
      <c r="F26" s="2">
        <v>1</v>
      </c>
      <c r="G26" s="2">
        <v>0</v>
      </c>
      <c r="H26" s="49" t="s">
        <v>1861</v>
      </c>
    </row>
    <row r="27" spans="2:8" ht="25.5">
      <c r="B27" s="1" t="s">
        <v>1447</v>
      </c>
      <c r="C27" s="14" t="s">
        <v>1448</v>
      </c>
      <c r="D27" s="2" t="s">
        <v>1424</v>
      </c>
      <c r="F27" s="2">
        <v>0</v>
      </c>
      <c r="G27" s="2">
        <v>0</v>
      </c>
      <c r="H27" s="49" t="s">
        <v>1861</v>
      </c>
    </row>
    <row r="28" spans="2:8" ht="38.25">
      <c r="B28" s="1" t="s">
        <v>1449</v>
      </c>
      <c r="C28" s="14" t="s">
        <v>1450</v>
      </c>
      <c r="D28" s="2" t="s">
        <v>1424</v>
      </c>
      <c r="F28" s="2">
        <v>0</v>
      </c>
      <c r="G28" s="2">
        <v>0</v>
      </c>
      <c r="H28" s="49" t="s">
        <v>1861</v>
      </c>
    </row>
    <row r="29" spans="2:8" ht="12.75">
      <c r="B29" s="1" t="s">
        <v>1451</v>
      </c>
      <c r="C29" s="14" t="s">
        <v>1452</v>
      </c>
      <c r="D29" s="2" t="s">
        <v>1424</v>
      </c>
      <c r="E29" s="3">
        <v>75.04</v>
      </c>
      <c r="F29" s="2">
        <v>2</v>
      </c>
      <c r="G29" s="2">
        <v>0</v>
      </c>
      <c r="H29" s="49" t="s">
        <v>1861</v>
      </c>
    </row>
    <row r="30" spans="2:8" ht="12.75">
      <c r="B30" s="1" t="s">
        <v>1453</v>
      </c>
      <c r="C30" s="14" t="s">
        <v>1454</v>
      </c>
      <c r="D30" s="2" t="s">
        <v>1424</v>
      </c>
      <c r="E30" s="3">
        <v>89.07</v>
      </c>
      <c r="F30" s="2">
        <v>3</v>
      </c>
      <c r="G30" s="2">
        <v>0</v>
      </c>
      <c r="H30" s="49" t="s">
        <v>1861</v>
      </c>
    </row>
    <row r="31" spans="2:8" ht="12.75">
      <c r="B31" s="1" t="s">
        <v>1455</v>
      </c>
      <c r="C31" s="14" t="s">
        <v>1456</v>
      </c>
      <c r="D31" s="2" t="s">
        <v>1424</v>
      </c>
      <c r="E31" s="3">
        <v>137.11520000000002</v>
      </c>
      <c r="F31" s="2">
        <v>7</v>
      </c>
      <c r="G31" s="2">
        <v>0</v>
      </c>
      <c r="H31" s="49" t="s">
        <v>1861</v>
      </c>
    </row>
    <row r="32" spans="2:8" ht="12.75">
      <c r="B32" s="1" t="s">
        <v>1457</v>
      </c>
      <c r="C32" s="14" t="s">
        <v>1458</v>
      </c>
      <c r="D32" s="2" t="s">
        <v>1424</v>
      </c>
      <c r="E32" s="3">
        <v>101.08</v>
      </c>
      <c r="F32" s="2">
        <v>4</v>
      </c>
      <c r="G32" s="2">
        <v>0</v>
      </c>
      <c r="H32" s="49" t="s">
        <v>1861</v>
      </c>
    </row>
    <row r="33" spans="1:8" ht="12.75">
      <c r="A33" s="13" t="s">
        <v>1459</v>
      </c>
      <c r="H33" s="49" t="s">
        <v>1861</v>
      </c>
    </row>
    <row r="34" spans="2:8" ht="12.75">
      <c r="B34" s="1" t="s">
        <v>1460</v>
      </c>
      <c r="C34" s="14" t="s">
        <v>1461</v>
      </c>
      <c r="D34" s="2" t="s">
        <v>1462</v>
      </c>
      <c r="F34" s="2">
        <v>0</v>
      </c>
      <c r="G34" s="2">
        <v>0</v>
      </c>
      <c r="H34" s="49" t="s">
        <v>1861</v>
      </c>
    </row>
    <row r="35" spans="2:8" ht="12.75">
      <c r="B35" s="1" t="s">
        <v>1463</v>
      </c>
      <c r="C35" s="14" t="s">
        <v>1464</v>
      </c>
      <c r="D35" s="2" t="s">
        <v>1462</v>
      </c>
      <c r="F35" s="2">
        <v>0</v>
      </c>
      <c r="G35" s="2">
        <v>0</v>
      </c>
      <c r="H35" s="49" t="s">
        <v>1861</v>
      </c>
    </row>
    <row r="36" spans="2:8" ht="12.75">
      <c r="B36" s="1" t="s">
        <v>1465</v>
      </c>
      <c r="C36" s="14" t="s">
        <v>1466</v>
      </c>
      <c r="D36" s="2" t="s">
        <v>1462</v>
      </c>
      <c r="F36" s="2">
        <v>4</v>
      </c>
      <c r="G36" s="2">
        <v>0</v>
      </c>
      <c r="H36" s="49" t="s">
        <v>1861</v>
      </c>
    </row>
    <row r="37" spans="2:8" ht="12.75">
      <c r="B37" s="1" t="s">
        <v>1467</v>
      </c>
      <c r="C37" s="14" t="s">
        <v>1468</v>
      </c>
      <c r="D37" s="2" t="s">
        <v>1462</v>
      </c>
      <c r="F37" s="2">
        <v>6</v>
      </c>
      <c r="G37" s="2">
        <v>0</v>
      </c>
      <c r="H37" s="49" t="s">
        <v>1861</v>
      </c>
    </row>
    <row r="38" spans="2:7" ht="25.5">
      <c r="B38" s="1" t="s">
        <v>1529</v>
      </c>
      <c r="C38" s="14" t="s">
        <v>1530</v>
      </c>
      <c r="D38" s="2" t="s">
        <v>1462</v>
      </c>
      <c r="F38" s="2">
        <v>0</v>
      </c>
      <c r="G38" s="2">
        <v>1</v>
      </c>
    </row>
    <row r="39" spans="1:8" ht="12.75">
      <c r="A39" s="13" t="s">
        <v>1469</v>
      </c>
      <c r="H39" s="49" t="s">
        <v>1861</v>
      </c>
    </row>
    <row r="40" spans="2:8" ht="12.75">
      <c r="B40" s="1" t="s">
        <v>1470</v>
      </c>
      <c r="C40" s="14" t="s">
        <v>1471</v>
      </c>
      <c r="D40" s="2" t="s">
        <v>1424</v>
      </c>
      <c r="E40" s="3">
        <v>121.05</v>
      </c>
      <c r="F40" s="2">
        <v>2</v>
      </c>
      <c r="G40" s="2">
        <v>1</v>
      </c>
      <c r="H40" s="49" t="s">
        <v>1861</v>
      </c>
    </row>
    <row r="41" spans="2:8" ht="12.75">
      <c r="B41" s="1" t="s">
        <v>1472</v>
      </c>
      <c r="C41" s="14" t="s">
        <v>1473</v>
      </c>
      <c r="D41" s="2" t="s">
        <v>1424</v>
      </c>
      <c r="E41" s="3">
        <v>135.08</v>
      </c>
      <c r="F41" s="2">
        <v>3</v>
      </c>
      <c r="G41" s="2">
        <v>1</v>
      </c>
      <c r="H41" s="49" t="s">
        <v>1861</v>
      </c>
    </row>
    <row r="42" spans="2:8" ht="12.75">
      <c r="B42" s="1" t="s">
        <v>1474</v>
      </c>
      <c r="C42" s="14" t="s">
        <v>1475</v>
      </c>
      <c r="D42" s="2" t="s">
        <v>1424</v>
      </c>
      <c r="E42" s="3">
        <v>183.13</v>
      </c>
      <c r="F42" s="2">
        <v>7</v>
      </c>
      <c r="G42" s="2">
        <v>1</v>
      </c>
      <c r="H42" s="49" t="s">
        <v>1861</v>
      </c>
    </row>
    <row r="43" spans="2:8" ht="12.75">
      <c r="B43" s="1" t="s">
        <v>1476</v>
      </c>
      <c r="C43" s="14" t="s">
        <v>1477</v>
      </c>
      <c r="D43" s="2" t="s">
        <v>1424</v>
      </c>
      <c r="E43" s="3">
        <v>147.09</v>
      </c>
      <c r="F43" s="2">
        <v>4</v>
      </c>
      <c r="G43" s="2">
        <v>1</v>
      </c>
      <c r="H43" s="49" t="s">
        <v>1861</v>
      </c>
    </row>
    <row r="44" spans="1:8" ht="12.75">
      <c r="A44" s="13" t="s">
        <v>1478</v>
      </c>
      <c r="H44" s="49" t="s">
        <v>1861</v>
      </c>
    </row>
    <row r="45" spans="2:8" ht="12.75">
      <c r="B45" s="1" t="s">
        <v>1479</v>
      </c>
      <c r="C45" s="14" t="s">
        <v>1480</v>
      </c>
      <c r="D45" s="2" t="s">
        <v>1424</v>
      </c>
      <c r="E45" s="3">
        <v>30.03</v>
      </c>
      <c r="F45" s="2">
        <v>1</v>
      </c>
      <c r="G45" s="2">
        <v>0</v>
      </c>
      <c r="H45" s="49" t="s">
        <v>1479</v>
      </c>
    </row>
    <row r="46" spans="2:8" ht="12.75">
      <c r="B46" s="1" t="s">
        <v>1481</v>
      </c>
      <c r="C46" s="14" t="s">
        <v>1482</v>
      </c>
      <c r="D46" s="2" t="s">
        <v>1424</v>
      </c>
      <c r="E46" s="3">
        <v>44.05</v>
      </c>
      <c r="F46" s="2">
        <v>2</v>
      </c>
      <c r="G46" s="2">
        <v>0</v>
      </c>
      <c r="H46" s="49" t="s">
        <v>1481</v>
      </c>
    </row>
    <row r="47" spans="2:8" ht="12.75">
      <c r="B47" s="1" t="s">
        <v>1483</v>
      </c>
      <c r="C47" s="14" t="s">
        <v>1484</v>
      </c>
      <c r="D47" s="2" t="s">
        <v>1424</v>
      </c>
      <c r="E47" s="3">
        <v>58.08</v>
      </c>
      <c r="F47" s="2">
        <v>3</v>
      </c>
      <c r="G47" s="2">
        <v>0</v>
      </c>
      <c r="H47" s="49" t="s">
        <v>1483</v>
      </c>
    </row>
    <row r="48" spans="2:8" ht="12.75">
      <c r="B48" s="1" t="s">
        <v>1485</v>
      </c>
      <c r="C48" s="14" t="s">
        <v>1486</v>
      </c>
      <c r="D48" s="2" t="s">
        <v>1424</v>
      </c>
      <c r="E48" s="3">
        <v>60.05</v>
      </c>
      <c r="F48" s="2">
        <v>2</v>
      </c>
      <c r="G48" s="2">
        <v>0</v>
      </c>
      <c r="H48" s="49" t="s">
        <v>1861</v>
      </c>
    </row>
    <row r="49" spans="2:8" ht="12.75">
      <c r="B49" s="1" t="s">
        <v>1487</v>
      </c>
      <c r="C49" s="14" t="s">
        <v>1488</v>
      </c>
      <c r="D49" s="2" t="s">
        <v>1424</v>
      </c>
      <c r="E49" s="3">
        <v>58.08</v>
      </c>
      <c r="F49" s="2">
        <v>3</v>
      </c>
      <c r="G49" s="2">
        <v>0</v>
      </c>
      <c r="H49" s="49" t="s">
        <v>1487</v>
      </c>
    </row>
    <row r="50" spans="2:8" ht="38.25">
      <c r="B50" s="1" t="s">
        <v>1489</v>
      </c>
      <c r="C50" s="14" t="s">
        <v>1490</v>
      </c>
      <c r="D50" s="2" t="s">
        <v>1424</v>
      </c>
      <c r="E50" s="3">
        <v>72.11</v>
      </c>
      <c r="F50" s="2">
        <v>4</v>
      </c>
      <c r="G50" s="2">
        <v>0</v>
      </c>
      <c r="H50" s="49" t="s">
        <v>1489</v>
      </c>
    </row>
    <row r="51" spans="2:8" ht="12.75">
      <c r="B51" s="1" t="s">
        <v>1491</v>
      </c>
      <c r="C51" s="14" t="s">
        <v>1492</v>
      </c>
      <c r="D51" s="2" t="s">
        <v>1424</v>
      </c>
      <c r="E51" s="3">
        <v>32.04</v>
      </c>
      <c r="F51" s="2">
        <v>1</v>
      </c>
      <c r="G51" s="2">
        <v>0</v>
      </c>
      <c r="H51" s="49" t="s">
        <v>1491</v>
      </c>
    </row>
    <row r="52" spans="2:8" ht="12.75">
      <c r="B52" s="1" t="s">
        <v>1493</v>
      </c>
      <c r="C52" s="14" t="s">
        <v>1494</v>
      </c>
      <c r="D52" s="2" t="s">
        <v>1424</v>
      </c>
      <c r="E52" s="3">
        <v>46.03</v>
      </c>
      <c r="F52" s="2">
        <v>1</v>
      </c>
      <c r="G52" s="2">
        <v>0</v>
      </c>
      <c r="H52" s="49" t="s">
        <v>852</v>
      </c>
    </row>
    <row r="53" spans="2:8" ht="12.75">
      <c r="B53" s="1" t="s">
        <v>1495</v>
      </c>
      <c r="C53" s="14" t="s">
        <v>1762</v>
      </c>
      <c r="D53" s="2" t="s">
        <v>1424</v>
      </c>
      <c r="E53" s="3">
        <v>60.05</v>
      </c>
      <c r="F53" s="2">
        <v>2</v>
      </c>
      <c r="G53" s="2">
        <v>0</v>
      </c>
      <c r="H53" s="49" t="s">
        <v>853</v>
      </c>
    </row>
    <row r="54" spans="2:8" ht="12.75">
      <c r="B54" s="1" t="s">
        <v>1496</v>
      </c>
      <c r="C54" s="14" t="s">
        <v>1757</v>
      </c>
      <c r="D54" s="2" t="s">
        <v>1424</v>
      </c>
      <c r="E54" s="3">
        <v>74.08</v>
      </c>
      <c r="F54" s="2">
        <v>3</v>
      </c>
      <c r="G54" s="2">
        <v>0</v>
      </c>
      <c r="H54" s="49" t="s">
        <v>854</v>
      </c>
    </row>
    <row r="55" spans="2:7" ht="12.75">
      <c r="B55" s="1" t="s">
        <v>1758</v>
      </c>
      <c r="C55" s="14" t="s">
        <v>1759</v>
      </c>
      <c r="D55" s="2" t="s">
        <v>1424</v>
      </c>
      <c r="E55" s="3">
        <v>76.04939999999999</v>
      </c>
      <c r="F55" s="2">
        <v>2</v>
      </c>
      <c r="G55" s="2">
        <v>0</v>
      </c>
    </row>
    <row r="56" spans="2:7" ht="12.75">
      <c r="B56" s="1" t="s">
        <v>1760</v>
      </c>
      <c r="C56" s="14" t="s">
        <v>1761</v>
      </c>
      <c r="D56" s="2" t="s">
        <v>1424</v>
      </c>
      <c r="E56" s="3">
        <v>90.07939999999999</v>
      </c>
      <c r="F56" s="2">
        <v>3</v>
      </c>
      <c r="G56" s="2">
        <v>0</v>
      </c>
    </row>
    <row r="57" spans="2:8" ht="12.75">
      <c r="B57" s="1" t="s">
        <v>1497</v>
      </c>
      <c r="C57" s="14" t="s">
        <v>1498</v>
      </c>
      <c r="D57" s="2" t="s">
        <v>1424</v>
      </c>
      <c r="E57" s="3">
        <v>48.04</v>
      </c>
      <c r="F57" s="2">
        <v>1</v>
      </c>
      <c r="G57" s="2">
        <v>0</v>
      </c>
      <c r="H57" s="49" t="s">
        <v>1861</v>
      </c>
    </row>
    <row r="58" spans="2:8" ht="25.5">
      <c r="B58" s="1" t="s">
        <v>1499</v>
      </c>
      <c r="C58" s="14" t="s">
        <v>1500</v>
      </c>
      <c r="D58" s="2" t="s">
        <v>1424</v>
      </c>
      <c r="E58" s="3">
        <v>76.1</v>
      </c>
      <c r="F58" s="2">
        <v>3</v>
      </c>
      <c r="G58" s="2">
        <v>0</v>
      </c>
      <c r="H58" s="49" t="s">
        <v>1861</v>
      </c>
    </row>
    <row r="59" spans="2:8" ht="38.25">
      <c r="B59" s="1" t="s">
        <v>1501</v>
      </c>
      <c r="C59" s="14" t="s">
        <v>1502</v>
      </c>
      <c r="D59" s="2" t="s">
        <v>1424</v>
      </c>
      <c r="E59" s="3">
        <v>118.17</v>
      </c>
      <c r="F59" s="2">
        <v>6</v>
      </c>
      <c r="G59" s="2">
        <v>0</v>
      </c>
      <c r="H59" s="49" t="s">
        <v>1861</v>
      </c>
    </row>
    <row r="60" spans="2:8" ht="38.25">
      <c r="B60" s="1" t="s">
        <v>1503</v>
      </c>
      <c r="C60" s="14" t="s">
        <v>1504</v>
      </c>
      <c r="D60" s="2" t="s">
        <v>1424</v>
      </c>
      <c r="E60" s="3">
        <v>188.18</v>
      </c>
      <c r="F60" s="2">
        <v>8</v>
      </c>
      <c r="G60" s="2">
        <v>0</v>
      </c>
      <c r="H60" s="49" t="s">
        <v>1861</v>
      </c>
    </row>
    <row r="61" spans="2:8" ht="12.75">
      <c r="B61" s="1" t="s">
        <v>1505</v>
      </c>
      <c r="C61" s="14" t="s">
        <v>1506</v>
      </c>
      <c r="D61" s="2" t="s">
        <v>1424</v>
      </c>
      <c r="E61" s="3">
        <v>58.04</v>
      </c>
      <c r="F61" s="2">
        <v>2</v>
      </c>
      <c r="G61" s="2">
        <v>0</v>
      </c>
      <c r="H61" s="49" t="s">
        <v>1505</v>
      </c>
    </row>
    <row r="62" spans="2:8" ht="12.75">
      <c r="B62" s="1" t="s">
        <v>1507</v>
      </c>
      <c r="C62" s="14" t="s">
        <v>1508</v>
      </c>
      <c r="D62" s="2" t="s">
        <v>1424</v>
      </c>
      <c r="E62" s="3">
        <v>72.07</v>
      </c>
      <c r="F62" s="2">
        <v>3</v>
      </c>
      <c r="G62" s="2">
        <v>0</v>
      </c>
      <c r="H62" s="49" t="s">
        <v>1507</v>
      </c>
    </row>
    <row r="63" spans="2:8" ht="12.75">
      <c r="B63" s="1" t="s">
        <v>1509</v>
      </c>
      <c r="C63" s="14" t="s">
        <v>1510</v>
      </c>
      <c r="D63" s="2" t="s">
        <v>1424</v>
      </c>
      <c r="E63" s="3">
        <v>86.09</v>
      </c>
      <c r="F63" s="2">
        <v>4</v>
      </c>
      <c r="G63" s="2">
        <v>0</v>
      </c>
      <c r="H63" s="49" t="s">
        <v>1509</v>
      </c>
    </row>
    <row r="64" spans="2:8" ht="12.75">
      <c r="B64" s="1" t="s">
        <v>1511</v>
      </c>
      <c r="C64" s="14" t="s">
        <v>1512</v>
      </c>
      <c r="D64" s="2" t="s">
        <v>1424</v>
      </c>
      <c r="E64" s="3">
        <v>108.14</v>
      </c>
      <c r="F64" s="2">
        <v>7</v>
      </c>
      <c r="G64" s="2">
        <v>0</v>
      </c>
      <c r="H64" s="49" t="s">
        <v>1511</v>
      </c>
    </row>
    <row r="65" spans="2:8" ht="12.75">
      <c r="B65" s="1" t="s">
        <v>1513</v>
      </c>
      <c r="C65" s="14" t="s">
        <v>1514</v>
      </c>
      <c r="D65" s="2" t="s">
        <v>1424</v>
      </c>
      <c r="E65" s="3">
        <v>139.11</v>
      </c>
      <c r="F65" s="2">
        <v>6</v>
      </c>
      <c r="G65" s="2">
        <v>1</v>
      </c>
      <c r="H65" s="49" t="s">
        <v>1861</v>
      </c>
    </row>
    <row r="66" spans="2:8" ht="12.75">
      <c r="B66" s="1" t="s">
        <v>1515</v>
      </c>
      <c r="C66" s="14" t="s">
        <v>1516</v>
      </c>
      <c r="D66" s="2" t="s">
        <v>1424</v>
      </c>
      <c r="E66" s="3">
        <v>106.13</v>
      </c>
      <c r="F66" s="2">
        <v>7</v>
      </c>
      <c r="G66" s="2">
        <v>0</v>
      </c>
      <c r="H66" s="49" t="s">
        <v>1515</v>
      </c>
    </row>
    <row r="67" spans="2:9" ht="12.75">
      <c r="B67" s="1" t="s">
        <v>855</v>
      </c>
      <c r="C67" s="14" t="s">
        <v>1531</v>
      </c>
      <c r="D67" s="2" t="s">
        <v>1424</v>
      </c>
      <c r="E67" s="3">
        <v>56.06326</v>
      </c>
      <c r="F67" s="2">
        <v>3</v>
      </c>
      <c r="G67" s="2">
        <v>0</v>
      </c>
      <c r="H67" s="1" t="s">
        <v>855</v>
      </c>
      <c r="I67" s="1"/>
    </row>
    <row r="68" spans="2:8" ht="12.75">
      <c r="B68" s="1" t="s">
        <v>1517</v>
      </c>
      <c r="C68" s="14" t="s">
        <v>1518</v>
      </c>
      <c r="D68" s="2" t="s">
        <v>1424</v>
      </c>
      <c r="E68" s="3">
        <v>70.09</v>
      </c>
      <c r="F68" s="2">
        <v>4</v>
      </c>
      <c r="G68" s="2">
        <v>0</v>
      </c>
      <c r="H68" s="49" t="s">
        <v>1517</v>
      </c>
    </row>
    <row r="69" spans="2:8" ht="12.75">
      <c r="B69" s="1" t="s">
        <v>1519</v>
      </c>
      <c r="C69" s="14" t="s">
        <v>1520</v>
      </c>
      <c r="D69" s="2" t="s">
        <v>1424</v>
      </c>
      <c r="E69" s="3">
        <v>70.09</v>
      </c>
      <c r="F69" s="2">
        <v>4</v>
      </c>
      <c r="G69" s="2">
        <v>0</v>
      </c>
      <c r="H69" s="49" t="s">
        <v>1519</v>
      </c>
    </row>
    <row r="70" spans="2:8" ht="12.75">
      <c r="B70" s="1" t="s">
        <v>1521</v>
      </c>
      <c r="C70" s="14" t="s">
        <v>1522</v>
      </c>
      <c r="D70" s="2" t="s">
        <v>1424</v>
      </c>
      <c r="E70" s="3">
        <v>100.12</v>
      </c>
      <c r="F70" s="2">
        <v>5</v>
      </c>
      <c r="G70" s="2">
        <v>0</v>
      </c>
      <c r="H70" s="49" t="s">
        <v>1521</v>
      </c>
    </row>
    <row r="71" spans="1:8" ht="12.75">
      <c r="A71" s="13" t="s">
        <v>1523</v>
      </c>
      <c r="H71" s="49" t="s">
        <v>1861</v>
      </c>
    </row>
    <row r="72" spans="2:8" ht="25.5">
      <c r="B72" s="1" t="s">
        <v>1524</v>
      </c>
      <c r="C72" s="14" t="s">
        <v>1525</v>
      </c>
      <c r="D72" s="2" t="s">
        <v>1424</v>
      </c>
      <c r="E72" s="3">
        <v>98.09994</v>
      </c>
      <c r="F72" s="2">
        <v>5</v>
      </c>
      <c r="G72" s="2">
        <v>0</v>
      </c>
      <c r="H72" s="49" t="s">
        <v>1861</v>
      </c>
    </row>
    <row r="73" spans="2:8" ht="25.5">
      <c r="B73" s="1" t="s">
        <v>1526</v>
      </c>
      <c r="C73" s="14" t="s">
        <v>1527</v>
      </c>
      <c r="D73" s="2" t="s">
        <v>1424</v>
      </c>
      <c r="E73" s="3">
        <v>98.09994</v>
      </c>
      <c r="F73" s="2">
        <v>5</v>
      </c>
      <c r="G73" s="2">
        <v>0</v>
      </c>
      <c r="H73" s="49" t="s">
        <v>1861</v>
      </c>
    </row>
    <row r="74" spans="2:8" ht="12.75">
      <c r="B74" s="1" t="s">
        <v>1528</v>
      </c>
      <c r="C74" s="14" t="s">
        <v>1644</v>
      </c>
      <c r="D74" s="2" t="s">
        <v>1424</v>
      </c>
      <c r="E74" s="3">
        <v>124.13722</v>
      </c>
      <c r="F74" s="2">
        <v>7</v>
      </c>
      <c r="G74" s="2">
        <v>0</v>
      </c>
      <c r="H74" s="49" t="s">
        <v>1861</v>
      </c>
    </row>
    <row r="75" spans="1:8" ht="12.75">
      <c r="A75" s="13" t="s">
        <v>1645</v>
      </c>
      <c r="H75" s="49" t="s">
        <v>1861</v>
      </c>
    </row>
    <row r="76" spans="2:8" ht="25.5">
      <c r="B76" s="1" t="s">
        <v>1646</v>
      </c>
      <c r="C76" s="14" t="s">
        <v>1647</v>
      </c>
      <c r="D76" s="2" t="s">
        <v>1424</v>
      </c>
      <c r="E76" s="3">
        <v>116.16</v>
      </c>
      <c r="F76" s="2">
        <v>6</v>
      </c>
      <c r="G76" s="2">
        <v>0</v>
      </c>
      <c r="H76" s="49" t="s">
        <v>851</v>
      </c>
    </row>
    <row r="77" spans="2:8" ht="12.75">
      <c r="B77" s="1" t="s">
        <v>1648</v>
      </c>
      <c r="C77" s="14" t="s">
        <v>1649</v>
      </c>
      <c r="D77" s="2" t="s">
        <v>1424</v>
      </c>
      <c r="E77" s="3">
        <v>147.18</v>
      </c>
      <c r="F77" s="2">
        <v>6</v>
      </c>
      <c r="G77" s="2">
        <v>1</v>
      </c>
      <c r="H77" s="49" t="s">
        <v>1648</v>
      </c>
    </row>
    <row r="78" spans="1:8" ht="12.75">
      <c r="A78" s="13" t="s">
        <v>1650</v>
      </c>
      <c r="H78" s="49" t="s">
        <v>1861</v>
      </c>
    </row>
    <row r="79" spans="2:8" ht="25.5">
      <c r="B79" s="1" t="s">
        <v>1651</v>
      </c>
      <c r="C79" s="14" t="s">
        <v>1652</v>
      </c>
      <c r="D79" s="2" t="s">
        <v>1462</v>
      </c>
      <c r="E79" s="15"/>
      <c r="F79" s="16"/>
      <c r="G79" s="16"/>
      <c r="H79" s="49" t="s">
        <v>1861</v>
      </c>
    </row>
    <row r="80" spans="2:8" ht="12.75">
      <c r="B80" s="1" t="s">
        <v>1653</v>
      </c>
      <c r="C80" s="14" t="s">
        <v>1654</v>
      </c>
      <c r="D80" s="2" t="s">
        <v>1462</v>
      </c>
      <c r="E80" s="15"/>
      <c r="F80" s="16"/>
      <c r="G80" s="16"/>
      <c r="H80" s="49" t="s">
        <v>1861</v>
      </c>
    </row>
    <row r="81" spans="2:8" ht="12.75">
      <c r="B81" s="1" t="s">
        <v>1655</v>
      </c>
      <c r="C81" s="14" t="s">
        <v>1656</v>
      </c>
      <c r="D81" s="2" t="s">
        <v>1462</v>
      </c>
      <c r="E81" s="15"/>
      <c r="F81" s="16"/>
      <c r="G81" s="16"/>
      <c r="H81" s="49" t="s">
        <v>1861</v>
      </c>
    </row>
    <row r="82" spans="2:8" ht="12.75">
      <c r="B82" s="1" t="s">
        <v>1657</v>
      </c>
      <c r="C82" s="14" t="s">
        <v>1658</v>
      </c>
      <c r="D82" s="2" t="s">
        <v>1462</v>
      </c>
      <c r="E82" s="15"/>
      <c r="F82" s="16"/>
      <c r="G82" s="16"/>
      <c r="H82" s="49" t="s">
        <v>1861</v>
      </c>
    </row>
    <row r="83" spans="2:8" ht="12.75">
      <c r="B83" s="1" t="s">
        <v>1659</v>
      </c>
      <c r="C83" s="14" t="s">
        <v>1660</v>
      </c>
      <c r="D83" s="2" t="s">
        <v>1462</v>
      </c>
      <c r="E83" s="15"/>
      <c r="F83" s="16"/>
      <c r="G83" s="16"/>
      <c r="H83" s="49" t="s">
        <v>1861</v>
      </c>
    </row>
    <row r="84" spans="2:8" ht="12.75">
      <c r="B84" s="1" t="s">
        <v>1661</v>
      </c>
      <c r="C84" s="14" t="s">
        <v>1662</v>
      </c>
      <c r="D84" s="2" t="s">
        <v>1462</v>
      </c>
      <c r="E84" s="15"/>
      <c r="F84" s="16"/>
      <c r="G84" s="16"/>
      <c r="H84" s="49" t="s">
        <v>1861</v>
      </c>
    </row>
    <row r="85" spans="2:8" ht="12.75">
      <c r="B85" s="1" t="s">
        <v>1663</v>
      </c>
      <c r="C85" s="14" t="s">
        <v>1664</v>
      </c>
      <c r="D85" s="2" t="s">
        <v>1462</v>
      </c>
      <c r="E85" s="15"/>
      <c r="F85" s="16"/>
      <c r="G85" s="16"/>
      <c r="H85" s="49" t="s">
        <v>1861</v>
      </c>
    </row>
    <row r="86" spans="2:8" ht="12.75">
      <c r="B86" s="1" t="s">
        <v>1665</v>
      </c>
      <c r="C86" s="14" t="s">
        <v>1666</v>
      </c>
      <c r="D86" s="2" t="s">
        <v>1462</v>
      </c>
      <c r="F86" s="16"/>
      <c r="G86" s="16"/>
      <c r="H86" s="49" t="s">
        <v>1861</v>
      </c>
    </row>
    <row r="87" spans="2:8" ht="12.75">
      <c r="B87" s="1" t="s">
        <v>1667</v>
      </c>
      <c r="C87" s="14" t="s">
        <v>1668</v>
      </c>
      <c r="D87" s="2" t="s">
        <v>1462</v>
      </c>
      <c r="E87" s="15"/>
      <c r="F87" s="16"/>
      <c r="G87" s="16"/>
      <c r="H87" s="49" t="s">
        <v>1861</v>
      </c>
    </row>
    <row r="88" spans="2:8" ht="12.75">
      <c r="B88" s="1" t="s">
        <v>1669</v>
      </c>
      <c r="C88" s="14" t="s">
        <v>1670</v>
      </c>
      <c r="D88" s="2" t="s">
        <v>1462</v>
      </c>
      <c r="E88" s="15"/>
      <c r="F88" s="16"/>
      <c r="G88" s="16"/>
      <c r="H88" s="49" t="s">
        <v>1861</v>
      </c>
    </row>
    <row r="89" spans="2:8" ht="12.75">
      <c r="B89" s="1" t="s">
        <v>1671</v>
      </c>
      <c r="C89" s="14" t="s">
        <v>1672</v>
      </c>
      <c r="D89" s="2" t="s">
        <v>1462</v>
      </c>
      <c r="E89" s="15"/>
      <c r="F89" s="16"/>
      <c r="G89" s="16"/>
      <c r="H89" s="49" t="s">
        <v>1861</v>
      </c>
    </row>
    <row r="90" spans="2:8" ht="12.75">
      <c r="B90" s="1" t="s">
        <v>1673</v>
      </c>
      <c r="C90" s="14" t="s">
        <v>1674</v>
      </c>
      <c r="D90" s="2" t="s">
        <v>1462</v>
      </c>
      <c r="E90" s="15"/>
      <c r="F90" s="16"/>
      <c r="G90" s="16"/>
      <c r="H90" s="49" t="s">
        <v>1861</v>
      </c>
    </row>
    <row r="91" spans="2:8" ht="12.75">
      <c r="B91" s="1" t="s">
        <v>1675</v>
      </c>
      <c r="C91" s="14" t="s">
        <v>1676</v>
      </c>
      <c r="D91" s="2" t="s">
        <v>1462</v>
      </c>
      <c r="E91" s="15"/>
      <c r="F91" s="16"/>
      <c r="G91" s="16"/>
      <c r="H91" s="49" t="s">
        <v>1861</v>
      </c>
    </row>
    <row r="92" spans="2:8" ht="12.75">
      <c r="B92" s="1" t="s">
        <v>1677</v>
      </c>
      <c r="C92" s="14" t="s">
        <v>1678</v>
      </c>
      <c r="D92" s="2" t="s">
        <v>1462</v>
      </c>
      <c r="E92" s="15"/>
      <c r="F92" s="16"/>
      <c r="G92" s="16"/>
      <c r="H92" s="49" t="s">
        <v>1861</v>
      </c>
    </row>
    <row r="93" spans="2:8" ht="12.75">
      <c r="B93" s="1" t="s">
        <v>1679</v>
      </c>
      <c r="C93" s="14" t="s">
        <v>1680</v>
      </c>
      <c r="D93" s="2" t="s">
        <v>1462</v>
      </c>
      <c r="E93" s="15"/>
      <c r="F93" s="16"/>
      <c r="G93" s="16"/>
      <c r="H93" s="49" t="s">
        <v>1861</v>
      </c>
    </row>
    <row r="94" spans="2:8" ht="12.75">
      <c r="B94" s="1" t="s">
        <v>1681</v>
      </c>
      <c r="C94" s="14" t="s">
        <v>1682</v>
      </c>
      <c r="D94" s="2" t="s">
        <v>1462</v>
      </c>
      <c r="E94" s="15"/>
      <c r="F94" s="16"/>
      <c r="G94" s="16"/>
      <c r="H94" s="49" t="s">
        <v>1861</v>
      </c>
    </row>
    <row r="95" spans="2:8" ht="12.75">
      <c r="B95" s="1" t="s">
        <v>1683</v>
      </c>
      <c r="C95" s="14" t="s">
        <v>1684</v>
      </c>
      <c r="D95" s="2" t="s">
        <v>1462</v>
      </c>
      <c r="E95" s="15"/>
      <c r="F95" s="16"/>
      <c r="G95" s="16"/>
      <c r="H95" s="49" t="s">
        <v>1861</v>
      </c>
    </row>
    <row r="96" spans="2:8" ht="12.75">
      <c r="B96" s="1" t="s">
        <v>1685</v>
      </c>
      <c r="C96" s="14" t="s">
        <v>1686</v>
      </c>
      <c r="D96" s="2" t="s">
        <v>1462</v>
      </c>
      <c r="E96" s="15"/>
      <c r="F96" s="16"/>
      <c r="G96" s="16"/>
      <c r="H96" s="49" t="s">
        <v>1861</v>
      </c>
    </row>
    <row r="97" spans="2:8" ht="12.75">
      <c r="B97" s="1" t="s">
        <v>1687</v>
      </c>
      <c r="C97" s="14" t="s">
        <v>1688</v>
      </c>
      <c r="D97" s="2" t="s">
        <v>1462</v>
      </c>
      <c r="E97" s="15"/>
      <c r="F97" s="16"/>
      <c r="G97" s="16"/>
      <c r="H97" s="49" t="s">
        <v>1861</v>
      </c>
    </row>
    <row r="98" spans="2:8" ht="12.75">
      <c r="B98" s="1" t="s">
        <v>1689</v>
      </c>
      <c r="C98" s="14" t="s">
        <v>1690</v>
      </c>
      <c r="D98" s="2" t="s">
        <v>1462</v>
      </c>
      <c r="E98" s="15"/>
      <c r="F98" s="16"/>
      <c r="G98" s="16"/>
      <c r="H98" s="49" t="s">
        <v>1861</v>
      </c>
    </row>
    <row r="99" spans="2:8" ht="12.75">
      <c r="B99" s="1" t="s">
        <v>1691</v>
      </c>
      <c r="C99" s="14" t="s">
        <v>1692</v>
      </c>
      <c r="D99" s="2" t="s">
        <v>1462</v>
      </c>
      <c r="E99" s="15"/>
      <c r="F99" s="16"/>
      <c r="G99" s="16"/>
      <c r="H99" s="49" t="s">
        <v>1861</v>
      </c>
    </row>
    <row r="100" spans="2:8" ht="12.75">
      <c r="B100" s="1" t="s">
        <v>1693</v>
      </c>
      <c r="C100" s="14" t="s">
        <v>1694</v>
      </c>
      <c r="D100" s="2" t="s">
        <v>1462</v>
      </c>
      <c r="E100" s="15"/>
      <c r="F100" s="16"/>
      <c r="G100" s="16"/>
      <c r="H100" s="49" t="s">
        <v>1861</v>
      </c>
    </row>
    <row r="101" spans="2:8" ht="12.75">
      <c r="B101" s="1" t="s">
        <v>1695</v>
      </c>
      <c r="C101" s="14" t="s">
        <v>1696</v>
      </c>
      <c r="D101" s="2" t="s">
        <v>1462</v>
      </c>
      <c r="E101" s="15"/>
      <c r="F101" s="16"/>
      <c r="G101" s="16"/>
      <c r="H101" s="49" t="s">
        <v>1861</v>
      </c>
    </row>
    <row r="102" spans="2:7" ht="12.75">
      <c r="B102" s="1" t="s">
        <v>1532</v>
      </c>
      <c r="C102" s="14" t="s">
        <v>1696</v>
      </c>
      <c r="D102" s="2" t="s">
        <v>1462</v>
      </c>
      <c r="E102" s="15"/>
      <c r="F102" s="16"/>
      <c r="G102" s="16"/>
    </row>
    <row r="103" spans="2:8" ht="12.75">
      <c r="B103" s="1" t="s">
        <v>1697</v>
      </c>
      <c r="C103" s="14" t="s">
        <v>1698</v>
      </c>
      <c r="D103" s="2" t="s">
        <v>1462</v>
      </c>
      <c r="E103" s="15"/>
      <c r="F103" s="16"/>
      <c r="G103" s="16"/>
      <c r="H103" s="49" t="s">
        <v>1861</v>
      </c>
    </row>
    <row r="104" spans="2:8" ht="12.75">
      <c r="B104" s="1" t="s">
        <v>1699</v>
      </c>
      <c r="C104" s="14" t="s">
        <v>1700</v>
      </c>
      <c r="D104" s="2" t="s">
        <v>1462</v>
      </c>
      <c r="E104" s="15"/>
      <c r="F104" s="16"/>
      <c r="G104" s="16"/>
      <c r="H104" s="49" t="s">
        <v>1861</v>
      </c>
    </row>
    <row r="105" spans="2:8" ht="12.75">
      <c r="B105" s="1" t="s">
        <v>1701</v>
      </c>
      <c r="C105" s="14" t="s">
        <v>1702</v>
      </c>
      <c r="D105" s="2" t="s">
        <v>1462</v>
      </c>
      <c r="E105" s="15"/>
      <c r="F105" s="16"/>
      <c r="G105" s="16"/>
      <c r="H105" s="49" t="s">
        <v>1861</v>
      </c>
    </row>
    <row r="106" spans="2:8" ht="12.75">
      <c r="B106" s="1" t="s">
        <v>1703</v>
      </c>
      <c r="C106" s="14" t="s">
        <v>1704</v>
      </c>
      <c r="D106" s="2" t="s">
        <v>1462</v>
      </c>
      <c r="E106" s="15"/>
      <c r="F106" s="16"/>
      <c r="G106" s="16"/>
      <c r="H106" s="49" t="s">
        <v>1861</v>
      </c>
    </row>
    <row r="107" spans="2:8" ht="38.25">
      <c r="B107" s="1" t="s">
        <v>1705</v>
      </c>
      <c r="C107" s="14" t="s">
        <v>1706</v>
      </c>
      <c r="D107" s="2" t="s">
        <v>1462</v>
      </c>
      <c r="E107" s="15"/>
      <c r="F107" s="16"/>
      <c r="H107" s="49" t="s">
        <v>1861</v>
      </c>
    </row>
    <row r="108" spans="2:8" ht="38.25">
      <c r="B108" s="1" t="s">
        <v>1707</v>
      </c>
      <c r="C108" s="14" t="s">
        <v>1708</v>
      </c>
      <c r="D108" s="2" t="s">
        <v>1462</v>
      </c>
      <c r="E108" s="15"/>
      <c r="F108" s="17"/>
      <c r="G108" s="16"/>
      <c r="H108" s="49" t="s">
        <v>1861</v>
      </c>
    </row>
    <row r="109" spans="2:8" ht="25.5">
      <c r="B109" s="1" t="s">
        <v>1709</v>
      </c>
      <c r="C109" s="14" t="s">
        <v>1710</v>
      </c>
      <c r="D109" s="2" t="s">
        <v>1462</v>
      </c>
      <c r="E109" s="15"/>
      <c r="F109" s="17"/>
      <c r="G109" s="16"/>
      <c r="H109" s="49" t="s">
        <v>1861</v>
      </c>
    </row>
    <row r="110" spans="2:8" ht="12.75">
      <c r="B110" s="1" t="s">
        <v>1711</v>
      </c>
      <c r="C110" s="14" t="s">
        <v>1712</v>
      </c>
      <c r="E110" s="15"/>
      <c r="F110" s="17"/>
      <c r="G110" s="16"/>
      <c r="H110" s="49" t="s">
        <v>1861</v>
      </c>
    </row>
    <row r="111" spans="1:8" ht="12.75">
      <c r="A111" s="13" t="s">
        <v>1713</v>
      </c>
      <c r="H111" s="49" t="s">
        <v>1861</v>
      </c>
    </row>
    <row r="112" spans="2:8" ht="12.75">
      <c r="B112" s="1" t="s">
        <v>1714</v>
      </c>
      <c r="C112" s="14" t="s">
        <v>1715</v>
      </c>
      <c r="D112" s="2" t="s">
        <v>1439</v>
      </c>
      <c r="E112" s="3">
        <v>44.0098</v>
      </c>
      <c r="F112" s="2">
        <v>1</v>
      </c>
      <c r="G112" s="2">
        <v>0</v>
      </c>
      <c r="H112" s="49" t="s">
        <v>1861</v>
      </c>
    </row>
    <row r="113" spans="2:8" ht="12.75">
      <c r="B113" s="1" t="s">
        <v>1716</v>
      </c>
      <c r="C113" s="14" t="s">
        <v>1717</v>
      </c>
      <c r="E113" s="3">
        <v>98.07759999999999</v>
      </c>
      <c r="H113" s="49" t="s">
        <v>1861</v>
      </c>
    </row>
    <row r="114" spans="2:8" ht="12.75">
      <c r="B114" s="1" t="s">
        <v>1718</v>
      </c>
      <c r="C114" s="14" t="s">
        <v>1719</v>
      </c>
      <c r="D114" s="2" t="s">
        <v>1439</v>
      </c>
      <c r="E114" s="3">
        <v>14.027</v>
      </c>
      <c r="F114" s="2">
        <v>1</v>
      </c>
      <c r="G114" s="2">
        <v>0</v>
      </c>
      <c r="H114" s="49" t="s">
        <v>1861</v>
      </c>
    </row>
    <row r="115" spans="2:8" ht="12.75">
      <c r="B115" s="1" t="s">
        <v>1720</v>
      </c>
      <c r="C115" s="14" t="s">
        <v>1721</v>
      </c>
      <c r="D115" s="2" t="s">
        <v>1439</v>
      </c>
      <c r="E115" s="3">
        <v>46.0058</v>
      </c>
      <c r="F115" s="2">
        <v>0</v>
      </c>
      <c r="G115" s="2">
        <v>1</v>
      </c>
      <c r="H115" s="49" t="s">
        <v>1861</v>
      </c>
    </row>
    <row r="116" spans="1:8" ht="12.75">
      <c r="A116" s="13" t="s">
        <v>1722</v>
      </c>
      <c r="H116" s="49" t="s">
        <v>1861</v>
      </c>
    </row>
    <row r="117" spans="2:8" ht="12.75">
      <c r="B117" s="1" t="s">
        <v>1723</v>
      </c>
      <c r="C117" s="14" t="s">
        <v>1724</v>
      </c>
      <c r="D117" s="2" t="s">
        <v>1424</v>
      </c>
      <c r="E117" s="3">
        <v>16.043</v>
      </c>
      <c r="F117" s="2">
        <v>1</v>
      </c>
      <c r="G117" s="2">
        <v>0</v>
      </c>
      <c r="H117" s="49" t="s">
        <v>1723</v>
      </c>
    </row>
    <row r="118" spans="2:8" ht="12.75">
      <c r="B118" s="1" t="s">
        <v>1725</v>
      </c>
      <c r="C118" s="14" t="s">
        <v>1726</v>
      </c>
      <c r="D118" s="2" t="s">
        <v>1424</v>
      </c>
      <c r="E118" s="3">
        <v>28.05</v>
      </c>
      <c r="F118" s="2">
        <v>2</v>
      </c>
      <c r="G118" s="2">
        <v>0</v>
      </c>
      <c r="H118" s="49" t="s">
        <v>839</v>
      </c>
    </row>
    <row r="119" spans="2:8" ht="12.75">
      <c r="B119" s="1" t="s">
        <v>1727</v>
      </c>
      <c r="C119" s="14" t="s">
        <v>1728</v>
      </c>
      <c r="D119" s="2" t="s">
        <v>1424</v>
      </c>
      <c r="E119" s="3">
        <v>42.07974</v>
      </c>
      <c r="F119" s="2">
        <v>3</v>
      </c>
      <c r="G119" s="2">
        <v>0</v>
      </c>
      <c r="H119" s="49" t="s">
        <v>840</v>
      </c>
    </row>
    <row r="120" spans="2:8" ht="12.75">
      <c r="B120" s="1" t="s">
        <v>1729</v>
      </c>
      <c r="C120" s="14" t="s">
        <v>1730</v>
      </c>
      <c r="D120" s="2" t="s">
        <v>1424</v>
      </c>
      <c r="E120" s="3">
        <v>54.09044</v>
      </c>
      <c r="F120" s="2">
        <v>4</v>
      </c>
      <c r="G120" s="2">
        <v>0</v>
      </c>
      <c r="H120" s="49" t="s">
        <v>841</v>
      </c>
    </row>
    <row r="121" spans="2:8" ht="12.75">
      <c r="B121" s="1" t="s">
        <v>1731</v>
      </c>
      <c r="C121" s="14" t="s">
        <v>1732</v>
      </c>
      <c r="D121" s="2" t="s">
        <v>1424</v>
      </c>
      <c r="E121" s="3">
        <v>68.12</v>
      </c>
      <c r="F121" s="2">
        <v>5</v>
      </c>
      <c r="G121" s="2">
        <v>0</v>
      </c>
      <c r="H121" s="49" t="s">
        <v>842</v>
      </c>
    </row>
    <row r="122" spans="2:8" ht="12.75">
      <c r="B122" s="1" t="s">
        <v>1733</v>
      </c>
      <c r="C122" s="14" t="s">
        <v>1734</v>
      </c>
      <c r="D122" s="2" t="s">
        <v>1424</v>
      </c>
      <c r="E122" s="3">
        <v>136.23404</v>
      </c>
      <c r="F122" s="2">
        <v>10</v>
      </c>
      <c r="G122" s="2">
        <v>0</v>
      </c>
      <c r="H122" s="49" t="s">
        <v>843</v>
      </c>
    </row>
    <row r="123" spans="2:8" ht="12.75">
      <c r="B123" s="1" t="s">
        <v>1735</v>
      </c>
      <c r="C123" s="14" t="s">
        <v>1736</v>
      </c>
      <c r="D123" s="2" t="s">
        <v>1424</v>
      </c>
      <c r="E123" s="3">
        <v>78.11184</v>
      </c>
      <c r="F123" s="2">
        <v>6</v>
      </c>
      <c r="G123" s="2">
        <v>0</v>
      </c>
      <c r="H123" s="49" t="s">
        <v>844</v>
      </c>
    </row>
    <row r="124" spans="2:8" ht="12.75">
      <c r="B124" s="1" t="s">
        <v>1737</v>
      </c>
      <c r="C124" s="14" t="s">
        <v>1738</v>
      </c>
      <c r="D124" s="2" t="s">
        <v>1424</v>
      </c>
      <c r="E124" s="3">
        <v>92.13842</v>
      </c>
      <c r="F124" s="2">
        <v>7</v>
      </c>
      <c r="G124" s="2">
        <v>0</v>
      </c>
      <c r="H124" s="49" t="s">
        <v>845</v>
      </c>
    </row>
    <row r="125" spans="2:8" ht="12.75">
      <c r="B125" s="1" t="s">
        <v>1739</v>
      </c>
      <c r="C125" s="14" t="s">
        <v>1740</v>
      </c>
      <c r="D125" s="2" t="s">
        <v>1424</v>
      </c>
      <c r="E125" s="3">
        <v>106.165</v>
      </c>
      <c r="F125" s="2">
        <v>8</v>
      </c>
      <c r="G125" s="2">
        <v>0</v>
      </c>
      <c r="H125" s="49" t="s">
        <v>847</v>
      </c>
    </row>
    <row r="126" spans="2:8" ht="12.75">
      <c r="B126" s="1" t="s">
        <v>1741</v>
      </c>
      <c r="C126" s="14" t="s">
        <v>1742</v>
      </c>
      <c r="D126" s="2" t="s">
        <v>1424</v>
      </c>
      <c r="E126" s="3">
        <v>106.165</v>
      </c>
      <c r="F126" s="2">
        <v>8</v>
      </c>
      <c r="G126" s="2">
        <v>0</v>
      </c>
      <c r="H126" s="49" t="s">
        <v>846</v>
      </c>
    </row>
    <row r="127" spans="2:8" ht="12.75">
      <c r="B127" s="1" t="s">
        <v>1743</v>
      </c>
      <c r="C127" s="14" t="s">
        <v>1744</v>
      </c>
      <c r="D127" s="2" t="s">
        <v>1424</v>
      </c>
      <c r="E127" s="3">
        <v>106.165</v>
      </c>
      <c r="F127" s="2">
        <v>8</v>
      </c>
      <c r="G127" s="2">
        <v>0</v>
      </c>
      <c r="H127" s="49" t="s">
        <v>848</v>
      </c>
    </row>
    <row r="128" spans="2:8" ht="12.75">
      <c r="B128" s="1" t="s">
        <v>1745</v>
      </c>
      <c r="C128" s="14" t="s">
        <v>1746</v>
      </c>
      <c r="D128" s="2" t="s">
        <v>1424</v>
      </c>
      <c r="E128" s="3">
        <v>120.19158</v>
      </c>
      <c r="F128" s="2">
        <v>9</v>
      </c>
      <c r="G128" s="2">
        <v>0</v>
      </c>
      <c r="H128" s="49" t="s">
        <v>849</v>
      </c>
    </row>
    <row r="129" spans="2:8" ht="12.75">
      <c r="B129" s="1" t="s">
        <v>1747</v>
      </c>
      <c r="C129" s="14" t="s">
        <v>1748</v>
      </c>
      <c r="D129" s="2" t="s">
        <v>1424</v>
      </c>
      <c r="E129" s="3">
        <v>26.03728</v>
      </c>
      <c r="F129" s="2">
        <v>2</v>
      </c>
      <c r="G129" s="2">
        <v>0</v>
      </c>
      <c r="H129" s="49" t="s">
        <v>850</v>
      </c>
    </row>
    <row r="130" spans="2:8" ht="12.75">
      <c r="B130" s="1" t="s">
        <v>1533</v>
      </c>
      <c r="C130" s="14" t="s">
        <v>1534</v>
      </c>
      <c r="D130" s="2" t="s">
        <v>1424</v>
      </c>
      <c r="E130" s="3">
        <v>46.06844</v>
      </c>
      <c r="F130" s="2">
        <v>2</v>
      </c>
      <c r="G130" s="2">
        <v>0</v>
      </c>
      <c r="H130" s="49" t="s">
        <v>1533</v>
      </c>
    </row>
    <row r="131" spans="1:9" s="12" customFormat="1" ht="21.75" customHeight="1">
      <c r="A131" s="8" t="s">
        <v>1749</v>
      </c>
      <c r="B131" s="8"/>
      <c r="C131" s="9"/>
      <c r="D131" s="10"/>
      <c r="E131" s="3"/>
      <c r="F131" s="10"/>
      <c r="G131" s="10"/>
      <c r="H131" s="49" t="s">
        <v>1861</v>
      </c>
      <c r="I131" s="49"/>
    </row>
    <row r="132" spans="2:8" ht="25.5">
      <c r="B132" s="1" t="s">
        <v>1750</v>
      </c>
      <c r="C132" s="14" t="s">
        <v>1751</v>
      </c>
      <c r="D132" s="2" t="s">
        <v>1424</v>
      </c>
      <c r="E132" s="3">
        <v>30.07</v>
      </c>
      <c r="F132" s="2">
        <v>2</v>
      </c>
      <c r="H132" s="49" t="s">
        <v>1750</v>
      </c>
    </row>
    <row r="133" spans="2:8" ht="25.5">
      <c r="B133" s="1" t="s">
        <v>1752</v>
      </c>
      <c r="C133" s="14" t="s">
        <v>1753</v>
      </c>
      <c r="D133" s="2" t="s">
        <v>1424</v>
      </c>
      <c r="E133" s="3">
        <v>36.73</v>
      </c>
      <c r="F133" s="2">
        <v>3</v>
      </c>
      <c r="H133" s="49" t="s">
        <v>1752</v>
      </c>
    </row>
    <row r="134" spans="2:8" ht="25.5">
      <c r="B134" s="1" t="s">
        <v>1754</v>
      </c>
      <c r="C134" s="14" t="s">
        <v>1755</v>
      </c>
      <c r="D134" s="2" t="s">
        <v>1424</v>
      </c>
      <c r="E134" s="3">
        <v>58.61</v>
      </c>
      <c r="F134" s="2">
        <v>4</v>
      </c>
      <c r="H134" s="49" t="s">
        <v>1754</v>
      </c>
    </row>
    <row r="135" spans="2:8" ht="25.5">
      <c r="B135" s="1" t="s">
        <v>1756</v>
      </c>
      <c r="C135" s="14" t="s">
        <v>1776</v>
      </c>
      <c r="D135" s="2" t="s">
        <v>1424</v>
      </c>
      <c r="E135" s="3">
        <v>77.6</v>
      </c>
      <c r="F135" s="2">
        <v>5</v>
      </c>
      <c r="H135" s="49" t="s">
        <v>1756</v>
      </c>
    </row>
    <row r="136" spans="2:8" ht="25.5">
      <c r="B136" s="1" t="s">
        <v>1777</v>
      </c>
      <c r="C136" s="14" t="s">
        <v>1778</v>
      </c>
      <c r="D136" s="2" t="s">
        <v>1424</v>
      </c>
      <c r="E136" s="3">
        <v>118.89</v>
      </c>
      <c r="F136" s="2">
        <v>8</v>
      </c>
      <c r="H136" s="49" t="s">
        <v>1777</v>
      </c>
    </row>
    <row r="137" spans="2:8" ht="12.75">
      <c r="B137" s="1" t="s">
        <v>1779</v>
      </c>
      <c r="C137" s="14" t="s">
        <v>1780</v>
      </c>
      <c r="D137" s="2" t="s">
        <v>1424</v>
      </c>
      <c r="E137" s="3">
        <v>95.16</v>
      </c>
      <c r="F137" s="2">
        <v>7</v>
      </c>
      <c r="H137" s="49" t="s">
        <v>1779</v>
      </c>
    </row>
    <row r="138" spans="2:8" ht="12.75">
      <c r="B138" s="1" t="s">
        <v>1781</v>
      </c>
      <c r="C138" s="14" t="s">
        <v>1782</v>
      </c>
      <c r="D138" s="2" t="s">
        <v>1424</v>
      </c>
      <c r="E138" s="3">
        <v>118.72</v>
      </c>
      <c r="F138" s="2">
        <v>9</v>
      </c>
      <c r="H138" s="49" t="s">
        <v>1781</v>
      </c>
    </row>
    <row r="139" spans="2:8" ht="12.75">
      <c r="B139" s="1" t="s">
        <v>1783</v>
      </c>
      <c r="C139" s="14" t="s">
        <v>1784</v>
      </c>
      <c r="D139" s="2" t="s">
        <v>1424</v>
      </c>
      <c r="E139" s="3">
        <v>72.34</v>
      </c>
      <c r="F139" s="2">
        <v>5</v>
      </c>
      <c r="H139" s="49" t="s">
        <v>1783</v>
      </c>
    </row>
    <row r="140" spans="2:8" ht="12.75">
      <c r="B140" s="1" t="s">
        <v>1785</v>
      </c>
      <c r="C140" s="14" t="s">
        <v>1786</v>
      </c>
      <c r="D140" s="2" t="s">
        <v>1424</v>
      </c>
      <c r="E140" s="3">
        <v>75.78</v>
      </c>
      <c r="F140" s="2">
        <v>5</v>
      </c>
      <c r="H140" s="49" t="s">
        <v>1785</v>
      </c>
    </row>
    <row r="141" spans="2:8" ht="12.75">
      <c r="B141" s="1" t="s">
        <v>1787</v>
      </c>
      <c r="C141" s="14" t="s">
        <v>1788</v>
      </c>
      <c r="D141" s="2" t="s">
        <v>1424</v>
      </c>
      <c r="E141" s="3">
        <v>136.24</v>
      </c>
      <c r="F141" s="2">
        <v>10</v>
      </c>
      <c r="H141" s="49" t="s">
        <v>1787</v>
      </c>
    </row>
    <row r="142" spans="2:8" ht="12.75">
      <c r="B142" s="1" t="s">
        <v>1789</v>
      </c>
      <c r="C142" s="14" t="s">
        <v>1790</v>
      </c>
      <c r="D142" s="2" t="s">
        <v>1424</v>
      </c>
      <c r="E142" s="3">
        <v>204.35106000000002</v>
      </c>
      <c r="F142" s="2">
        <v>15</v>
      </c>
      <c r="H142" s="49" t="s">
        <v>1789</v>
      </c>
    </row>
    <row r="143" spans="1:9" s="12" customFormat="1" ht="21.75" customHeight="1">
      <c r="A143" s="8" t="s">
        <v>1791</v>
      </c>
      <c r="B143" s="8"/>
      <c r="C143" s="9"/>
      <c r="D143" s="10"/>
      <c r="E143" s="3"/>
      <c r="F143" s="10"/>
      <c r="G143" s="10"/>
      <c r="H143" s="49" t="s">
        <v>1861</v>
      </c>
      <c r="I143" s="49"/>
    </row>
    <row r="144" spans="1:8" ht="12.75">
      <c r="A144" s="13" t="s">
        <v>1414</v>
      </c>
      <c r="H144" s="49" t="s">
        <v>1861</v>
      </c>
    </row>
    <row r="145" spans="2:8" ht="12.75">
      <c r="B145" s="1" t="s">
        <v>1792</v>
      </c>
      <c r="C145" s="14" t="s">
        <v>1793</v>
      </c>
      <c r="D145" s="2" t="s">
        <v>1424</v>
      </c>
      <c r="F145" s="2">
        <v>0</v>
      </c>
      <c r="G145" s="2">
        <v>0</v>
      </c>
      <c r="H145" s="49" t="s">
        <v>1861</v>
      </c>
    </row>
    <row r="146" spans="2:8" ht="12.75">
      <c r="B146" s="1" t="s">
        <v>1794</v>
      </c>
      <c r="C146" s="14" t="s">
        <v>1795</v>
      </c>
      <c r="D146" s="2" t="s">
        <v>1424</v>
      </c>
      <c r="F146" s="2">
        <v>0</v>
      </c>
      <c r="G146" s="2">
        <v>1</v>
      </c>
      <c r="H146" s="49" t="s">
        <v>1861</v>
      </c>
    </row>
    <row r="147" spans="2:8" ht="12.75">
      <c r="B147" s="1" t="s">
        <v>1796</v>
      </c>
      <c r="C147" s="14" t="s">
        <v>1797</v>
      </c>
      <c r="D147" s="2" t="s">
        <v>1424</v>
      </c>
      <c r="F147" s="2">
        <v>0</v>
      </c>
      <c r="G147" s="2">
        <v>1</v>
      </c>
      <c r="H147" s="49" t="s">
        <v>1861</v>
      </c>
    </row>
    <row r="148" spans="2:8" ht="12.75">
      <c r="B148" s="1" t="s">
        <v>1798</v>
      </c>
      <c r="C148" s="14" t="s">
        <v>1799</v>
      </c>
      <c r="D148" s="2" t="s">
        <v>1424</v>
      </c>
      <c r="F148" s="2">
        <v>0</v>
      </c>
      <c r="G148" s="2">
        <v>1</v>
      </c>
      <c r="H148" s="49" t="s">
        <v>1861</v>
      </c>
    </row>
    <row r="149" spans="2:8" ht="12.75">
      <c r="B149" s="1" t="s">
        <v>1800</v>
      </c>
      <c r="C149" s="14" t="s">
        <v>1801</v>
      </c>
      <c r="D149" s="2" t="s">
        <v>1424</v>
      </c>
      <c r="F149" s="2">
        <v>0</v>
      </c>
      <c r="G149" s="2">
        <v>1</v>
      </c>
      <c r="H149" s="49" t="s">
        <v>1861</v>
      </c>
    </row>
    <row r="150" spans="2:8" ht="12.75">
      <c r="B150" s="1" t="s">
        <v>1802</v>
      </c>
      <c r="C150" s="14" t="s">
        <v>1803</v>
      </c>
      <c r="D150" s="2" t="s">
        <v>1424</v>
      </c>
      <c r="F150" s="2">
        <v>0</v>
      </c>
      <c r="G150" s="2">
        <v>0</v>
      </c>
      <c r="H150" s="49" t="s">
        <v>1861</v>
      </c>
    </row>
    <row r="151" spans="1:8" ht="12.75">
      <c r="A151" s="13" t="s">
        <v>1440</v>
      </c>
      <c r="H151" s="49" t="s">
        <v>1861</v>
      </c>
    </row>
    <row r="152" spans="2:8" ht="12.75">
      <c r="B152" s="1" t="s">
        <v>1804</v>
      </c>
      <c r="C152" s="14" t="s">
        <v>1805</v>
      </c>
      <c r="D152" s="2" t="s">
        <v>1424</v>
      </c>
      <c r="F152" s="2">
        <v>0</v>
      </c>
      <c r="G152" s="2">
        <v>0</v>
      </c>
      <c r="H152" s="49" t="s">
        <v>1861</v>
      </c>
    </row>
    <row r="153" spans="2:8" ht="12.75">
      <c r="B153" s="1" t="s">
        <v>1806</v>
      </c>
      <c r="C153" s="14" t="s">
        <v>1807</v>
      </c>
      <c r="D153" s="2" t="s">
        <v>1424</v>
      </c>
      <c r="F153" s="2">
        <v>0</v>
      </c>
      <c r="G153" s="2">
        <v>0</v>
      </c>
      <c r="H153" s="49" t="s">
        <v>1861</v>
      </c>
    </row>
    <row r="154" spans="1:8" ht="12.75">
      <c r="A154" s="13" t="s">
        <v>1808</v>
      </c>
      <c r="H154" s="49" t="s">
        <v>1861</v>
      </c>
    </row>
    <row r="155" spans="2:8" ht="25.5">
      <c r="B155" s="1" t="s">
        <v>1809</v>
      </c>
      <c r="C155" s="14" t="s">
        <v>1810</v>
      </c>
      <c r="D155" s="2" t="s">
        <v>1424</v>
      </c>
      <c r="F155" s="2">
        <v>2</v>
      </c>
      <c r="G155" s="2">
        <v>0</v>
      </c>
      <c r="H155" s="49" t="s">
        <v>1861</v>
      </c>
    </row>
    <row r="156" spans="2:8" ht="25.5">
      <c r="B156" s="1" t="s">
        <v>1811</v>
      </c>
      <c r="C156" s="14" t="s">
        <v>1812</v>
      </c>
      <c r="D156" s="2" t="s">
        <v>1424</v>
      </c>
      <c r="F156" s="2">
        <v>3</v>
      </c>
      <c r="G156" s="2">
        <v>0</v>
      </c>
      <c r="H156" s="49" t="s">
        <v>1861</v>
      </c>
    </row>
    <row r="157" spans="1:8" ht="12.75">
      <c r="A157" s="13" t="s">
        <v>1650</v>
      </c>
      <c r="H157" s="49" t="s">
        <v>1861</v>
      </c>
    </row>
    <row r="158" spans="2:8" ht="25.5">
      <c r="B158" s="1" t="s">
        <v>1813</v>
      </c>
      <c r="C158" s="14" t="s">
        <v>1814</v>
      </c>
      <c r="D158" s="2" t="s">
        <v>1462</v>
      </c>
      <c r="F158" s="16"/>
      <c r="G158" s="16"/>
      <c r="H158" s="49" t="s">
        <v>1861</v>
      </c>
    </row>
    <row r="159" spans="2:8" ht="12.75">
      <c r="B159" s="1" t="s">
        <v>1815</v>
      </c>
      <c r="C159" s="14" t="s">
        <v>1816</v>
      </c>
      <c r="D159" s="2" t="s">
        <v>1462</v>
      </c>
      <c r="F159" s="16"/>
      <c r="G159" s="16"/>
      <c r="H159" s="49" t="s">
        <v>1861</v>
      </c>
    </row>
    <row r="160" spans="2:8" ht="12.75">
      <c r="B160" s="1" t="s">
        <v>1817</v>
      </c>
      <c r="C160" s="14" t="s">
        <v>1818</v>
      </c>
      <c r="D160" s="2" t="s">
        <v>1462</v>
      </c>
      <c r="F160" s="16"/>
      <c r="G160" s="16"/>
      <c r="H160" s="49" t="s">
        <v>1861</v>
      </c>
    </row>
    <row r="161" spans="1:8" ht="12.75">
      <c r="A161" s="13" t="s">
        <v>1819</v>
      </c>
      <c r="H161" s="49" t="s">
        <v>1861</v>
      </c>
    </row>
    <row r="162" spans="2:8" ht="12.75">
      <c r="B162" s="1" t="s">
        <v>1820</v>
      </c>
      <c r="C162" s="14" t="s">
        <v>1821</v>
      </c>
      <c r="D162" s="2" t="s">
        <v>1439</v>
      </c>
      <c r="F162" s="2">
        <v>0</v>
      </c>
      <c r="G162" s="2">
        <v>0</v>
      </c>
      <c r="H162" s="49" t="s">
        <v>1861</v>
      </c>
    </row>
    <row r="163" spans="2:8" ht="12.75">
      <c r="B163" s="1" t="s">
        <v>1822</v>
      </c>
      <c r="C163" s="14" t="s">
        <v>1823</v>
      </c>
      <c r="D163" s="2" t="s">
        <v>1439</v>
      </c>
      <c r="F163" s="2">
        <v>1</v>
      </c>
      <c r="G163" s="2">
        <v>0</v>
      </c>
      <c r="H163" s="49" t="s">
        <v>1861</v>
      </c>
    </row>
  </sheetData>
  <printOptions gridLines="1" horizontalCentered="1"/>
  <pageMargins left="1" right="1" top="1" bottom="1" header="0.5" footer="0.5"/>
  <pageSetup fitToHeight="1" fitToWidth="1" horizontalDpi="300" verticalDpi="300" orientation="portrait" r:id="rId1"/>
  <headerFooter alignWithMargins="0">
    <oddFooter>&amp;L&amp;F&amp;C&amp;A&amp;R&amp;D</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X466"/>
  <sheetViews>
    <sheetView tabSelected="1" workbookViewId="0" topLeftCell="A1">
      <pane ySplit="4" topLeftCell="BM5" activePane="bottomLeft" state="frozen"/>
      <selection pane="topLeft" activeCell="A1" sqref="A1"/>
      <selection pane="bottomLeft" activeCell="D2" sqref="D2"/>
    </sheetView>
  </sheetViews>
  <sheetFormatPr defaultColWidth="9.140625" defaultRowHeight="12.75"/>
  <cols>
    <col min="1" max="1" width="1.1484375" style="13" customWidth="1"/>
    <col min="2" max="2" width="7.7109375" style="49" customWidth="1"/>
    <col min="3" max="3" width="40.421875" style="14" customWidth="1"/>
    <col min="4" max="4" width="9.00390625" style="18" customWidth="1"/>
    <col min="5" max="5" width="9.8515625" style="18" customWidth="1"/>
    <col min="6" max="6" width="6.421875" style="3" customWidth="1"/>
    <col min="7" max="7" width="5.421875" style="3" customWidth="1"/>
    <col min="8" max="8" width="4.28125" style="39" customWidth="1"/>
    <col min="9" max="9" width="11.140625" style="49" customWidth="1"/>
    <col min="10" max="10" width="8.57421875" style="18" customWidth="1"/>
    <col min="11" max="11" width="9.28125" style="18" customWidth="1"/>
    <col min="12" max="12" width="6.421875" style="41" customWidth="1"/>
    <col min="13" max="13" width="5.421875" style="3" customWidth="1"/>
    <col min="14" max="14" width="9.28125" style="18" customWidth="1"/>
    <col min="15" max="15" width="6.421875" style="3" customWidth="1"/>
    <col min="16" max="16" width="5.421875" style="52" customWidth="1"/>
    <col min="17" max="18" width="5.7109375" style="3" customWidth="1"/>
    <col min="19" max="20" width="9.00390625" style="18" customWidth="1"/>
    <col min="21" max="21" width="6.421875" style="3" customWidth="1"/>
    <col min="22" max="22" width="9.57421875" style="18" bestFit="1" customWidth="1"/>
    <col min="23" max="23" width="9.00390625" style="18" customWidth="1"/>
    <col min="24" max="24" width="6.421875" style="3" customWidth="1"/>
    <col min="25" max="25" width="7.8515625" style="3" customWidth="1"/>
    <col min="26" max="26" width="1.421875" style="2" customWidth="1"/>
    <col min="27" max="27" width="36.140625" style="86" bestFit="1" customWidth="1"/>
    <col min="28" max="28" width="9.00390625" style="78" customWidth="1"/>
    <col min="29" max="29" width="1.421875" style="2" customWidth="1"/>
    <col min="30" max="30" width="9.140625" style="19" customWidth="1"/>
    <col min="31" max="31" width="7.28125" style="2" customWidth="1"/>
    <col min="32" max="32" width="7.140625" style="2" customWidth="1"/>
    <col min="33" max="33" width="5.8515625" style="2" customWidth="1"/>
    <col min="34" max="34" width="3.57421875" style="79" customWidth="1"/>
    <col min="35" max="38" width="10.7109375" style="49" customWidth="1"/>
    <col min="39" max="39" width="2.00390625" style="80" customWidth="1"/>
    <col min="40" max="40" width="6.8515625" style="3" customWidth="1"/>
    <col min="41" max="41" width="10.7109375" style="49" customWidth="1"/>
    <col min="42" max="42" width="6.8515625" style="3" customWidth="1"/>
    <col min="43" max="43" width="10.7109375" style="49" customWidth="1"/>
    <col min="44" max="44" width="6.8515625" style="3" customWidth="1"/>
    <col min="45" max="45" width="10.7109375" style="49" customWidth="1"/>
    <col min="46" max="46" width="6.8515625" style="3" customWidth="1"/>
    <col min="47" max="47" width="10.7109375" style="49" customWidth="1"/>
    <col min="48" max="48" width="6.8515625" style="3" customWidth="1"/>
    <col min="49" max="49" width="10.7109375" style="49" customWidth="1"/>
    <col min="50" max="50" width="6.8515625" style="3" customWidth="1"/>
    <col min="51" max="51" width="10.7109375" style="49" customWidth="1"/>
    <col min="52" max="52" width="6.8515625" style="3" customWidth="1"/>
    <col min="53" max="53" width="10.7109375" style="49" customWidth="1"/>
    <col min="54" max="54" width="6.8515625" style="3" customWidth="1"/>
    <col min="55" max="55" width="10.7109375" style="49" customWidth="1"/>
    <col min="56" max="56" width="6.8515625" style="3" customWidth="1"/>
    <col min="57" max="57" width="10.7109375" style="49" customWidth="1"/>
    <col min="58" max="58" width="6.8515625" style="3" customWidth="1"/>
    <col min="59" max="59" width="10.7109375" style="49" customWidth="1"/>
    <col min="60" max="60" width="6.8515625" style="3" customWidth="1"/>
    <col min="61" max="61" width="10.7109375" style="49" customWidth="1"/>
    <col min="62" max="62" width="6.8515625" style="3" customWidth="1"/>
    <col min="63" max="63" width="10.7109375" style="49" customWidth="1"/>
    <col min="64" max="64" width="6.8515625" style="3" customWidth="1"/>
    <col min="65" max="65" width="10.7109375" style="49" customWidth="1"/>
    <col min="66" max="66" width="6.8515625" style="3" customWidth="1"/>
    <col min="67" max="67" width="10.7109375" style="49" customWidth="1"/>
    <col min="68" max="97" width="9.140625" style="1" customWidth="1"/>
    <col min="98" max="98" width="2.57421875" style="81" customWidth="1"/>
    <col min="99" max="101" width="9.140625" style="1" customWidth="1"/>
    <col min="102" max="102" width="9.140625" style="2" customWidth="1"/>
    <col min="103" max="16384" width="9.140625" style="1" customWidth="1"/>
  </cols>
  <sheetData>
    <row r="1" spans="1:39" ht="15.75">
      <c r="A1" s="139" t="s">
        <v>1062</v>
      </c>
      <c r="AH1" s="82"/>
      <c r="AM1" s="83"/>
    </row>
    <row r="2" spans="1:98" ht="12.75">
      <c r="A2" s="59"/>
      <c r="B2" s="56">
        <f>COUNTA(B4:B466)</f>
        <v>436</v>
      </c>
      <c r="C2" s="36" t="s">
        <v>857</v>
      </c>
      <c r="D2" s="140">
        <v>40203</v>
      </c>
      <c r="E2" s="59"/>
      <c r="F2" s="59"/>
      <c r="G2" s="84"/>
      <c r="H2" s="85"/>
      <c r="K2" s="57"/>
      <c r="Y2" s="58">
        <v>6.766983999999999E-16</v>
      </c>
      <c r="AB2" s="59"/>
      <c r="AH2" s="30"/>
      <c r="AJ2" s="2"/>
      <c r="AK2" s="20" t="s">
        <v>1825</v>
      </c>
      <c r="AL2" s="53">
        <v>27</v>
      </c>
      <c r="AM2" s="59"/>
      <c r="AN2" s="60">
        <v>1</v>
      </c>
      <c r="AO2" s="61"/>
      <c r="AP2" s="60">
        <v>2</v>
      </c>
      <c r="AQ2" s="61"/>
      <c r="AR2" s="60">
        <v>3</v>
      </c>
      <c r="AS2" s="61"/>
      <c r="AT2" s="60">
        <v>4</v>
      </c>
      <c r="AU2" s="61"/>
      <c r="AV2" s="60">
        <v>5</v>
      </c>
      <c r="AW2" s="61"/>
      <c r="AX2" s="60">
        <v>6</v>
      </c>
      <c r="AY2" s="61"/>
      <c r="AZ2" s="60">
        <v>7</v>
      </c>
      <c r="BA2" s="61"/>
      <c r="BB2" s="60">
        <v>8</v>
      </c>
      <c r="BC2" s="61"/>
      <c r="BD2" s="60">
        <v>9</v>
      </c>
      <c r="BE2" s="61"/>
      <c r="BF2" s="60">
        <v>10</v>
      </c>
      <c r="BG2" s="61"/>
      <c r="BH2" s="60">
        <v>11</v>
      </c>
      <c r="BI2" s="61"/>
      <c r="BJ2" s="60">
        <v>12</v>
      </c>
      <c r="BK2" s="61"/>
      <c r="BL2" s="60">
        <v>13</v>
      </c>
      <c r="BM2" s="61"/>
      <c r="BN2" s="60">
        <v>14</v>
      </c>
      <c r="BO2" s="61"/>
      <c r="BP2" s="60">
        <v>15</v>
      </c>
      <c r="BQ2" s="61"/>
      <c r="BR2" s="60">
        <v>16</v>
      </c>
      <c r="BS2" s="61"/>
      <c r="BT2" s="60">
        <v>17</v>
      </c>
      <c r="BU2" s="61"/>
      <c r="BV2" s="60">
        <v>18</v>
      </c>
      <c r="BW2" s="61"/>
      <c r="BX2" s="60">
        <v>19</v>
      </c>
      <c r="BY2" s="61"/>
      <c r="BZ2" s="60">
        <v>20</v>
      </c>
      <c r="CA2" s="61"/>
      <c r="CB2" s="60">
        <v>21</v>
      </c>
      <c r="CC2" s="61"/>
      <c r="CD2" s="60">
        <v>22</v>
      </c>
      <c r="CE2" s="61"/>
      <c r="CF2" s="60">
        <v>23</v>
      </c>
      <c r="CG2" s="61"/>
      <c r="CH2" s="60">
        <v>24</v>
      </c>
      <c r="CI2" s="61"/>
      <c r="CJ2" s="60">
        <v>25</v>
      </c>
      <c r="CK2" s="61"/>
      <c r="CL2" s="60">
        <v>26</v>
      </c>
      <c r="CM2" s="61"/>
      <c r="CN2" s="60">
        <v>27</v>
      </c>
      <c r="CO2" s="61"/>
      <c r="CP2" s="60">
        <v>0</v>
      </c>
      <c r="CQ2" s="61"/>
      <c r="CR2" s="60">
        <v>0</v>
      </c>
      <c r="CS2" s="61"/>
      <c r="CT2" s="62">
        <v>0</v>
      </c>
    </row>
    <row r="3" spans="1:102" s="44" customFormat="1" ht="12.75">
      <c r="A3" s="87"/>
      <c r="B3" s="22" t="s">
        <v>1826</v>
      </c>
      <c r="C3" s="88" t="s">
        <v>1827</v>
      </c>
      <c r="D3" s="23" t="s">
        <v>1828</v>
      </c>
      <c r="E3" s="23"/>
      <c r="F3" s="25"/>
      <c r="G3" s="25"/>
      <c r="H3" s="21"/>
      <c r="I3" s="22"/>
      <c r="J3" s="23"/>
      <c r="K3" s="23" t="s">
        <v>1829</v>
      </c>
      <c r="L3" s="24"/>
      <c r="M3" s="25"/>
      <c r="N3" s="23" t="s">
        <v>1830</v>
      </c>
      <c r="O3" s="25"/>
      <c r="P3" s="26"/>
      <c r="Q3" s="25" t="s">
        <v>1831</v>
      </c>
      <c r="R3" s="25"/>
      <c r="S3" s="23" t="s">
        <v>1832</v>
      </c>
      <c r="T3" s="23"/>
      <c r="U3" s="25"/>
      <c r="V3" s="27">
        <v>1</v>
      </c>
      <c r="W3" s="27"/>
      <c r="X3" s="25"/>
      <c r="Y3" s="25"/>
      <c r="Z3" s="63"/>
      <c r="AA3" s="89" t="s">
        <v>1833</v>
      </c>
      <c r="AB3" s="90" t="s">
        <v>1834</v>
      </c>
      <c r="AC3" s="63"/>
      <c r="AD3" s="28"/>
      <c r="AE3" s="64">
        <v>5.21540641784668E-07</v>
      </c>
      <c r="AF3" s="65">
        <v>-1.7881393432617188E-07</v>
      </c>
      <c r="AG3" s="63"/>
      <c r="AH3" s="66"/>
      <c r="AI3" s="28"/>
      <c r="AJ3" s="28"/>
      <c r="AK3" s="28"/>
      <c r="AL3" s="28"/>
      <c r="AM3" s="67"/>
      <c r="AN3" s="54">
        <v>828</v>
      </c>
      <c r="AO3" s="28"/>
      <c r="AP3" s="54">
        <v>698</v>
      </c>
      <c r="AQ3" s="28"/>
      <c r="AR3" s="54">
        <v>271</v>
      </c>
      <c r="AS3" s="28"/>
      <c r="AT3" s="54">
        <v>182</v>
      </c>
      <c r="AU3" s="28"/>
      <c r="AV3" s="54">
        <v>157</v>
      </c>
      <c r="AW3" s="28"/>
      <c r="AX3" s="54">
        <v>137</v>
      </c>
      <c r="AY3" s="28"/>
      <c r="AZ3" s="54">
        <v>122</v>
      </c>
      <c r="BA3" s="28"/>
      <c r="BB3" s="54">
        <v>109</v>
      </c>
      <c r="BC3" s="28"/>
      <c r="BD3" s="54">
        <v>99</v>
      </c>
      <c r="BE3" s="28"/>
      <c r="BF3" s="54">
        <v>88</v>
      </c>
      <c r="BG3" s="28"/>
      <c r="BH3" s="54">
        <v>79</v>
      </c>
      <c r="BI3" s="28"/>
      <c r="BJ3" s="54">
        <v>69</v>
      </c>
      <c r="BK3" s="28"/>
      <c r="BL3" s="54">
        <v>57</v>
      </c>
      <c r="BM3" s="28"/>
      <c r="BN3" s="54">
        <v>45</v>
      </c>
      <c r="BO3" s="28"/>
      <c r="BP3" s="54">
        <v>41</v>
      </c>
      <c r="BR3" s="54">
        <v>36</v>
      </c>
      <c r="BT3" s="54">
        <v>27</v>
      </c>
      <c r="BV3" s="54">
        <v>20</v>
      </c>
      <c r="BX3" s="54">
        <v>15</v>
      </c>
      <c r="BZ3" s="54">
        <v>12</v>
      </c>
      <c r="CB3" s="54">
        <v>9</v>
      </c>
      <c r="CD3" s="54">
        <v>9</v>
      </c>
      <c r="CF3" s="54">
        <v>8</v>
      </c>
      <c r="CH3" s="54">
        <v>3</v>
      </c>
      <c r="CJ3" s="54">
        <v>1</v>
      </c>
      <c r="CL3" s="54">
        <v>1</v>
      </c>
      <c r="CN3" s="54">
        <v>1</v>
      </c>
      <c r="CP3" s="54">
        <v>0</v>
      </c>
      <c r="CR3" s="54">
        <v>0</v>
      </c>
      <c r="CT3" s="55">
        <v>0</v>
      </c>
      <c r="CX3" s="63"/>
    </row>
    <row r="4" spans="1:102" s="48" customFormat="1" ht="12.75">
      <c r="A4" s="30"/>
      <c r="B4" s="30"/>
      <c r="C4" s="30"/>
      <c r="D4" s="45">
        <v>300</v>
      </c>
      <c r="E4" s="31" t="s">
        <v>1835</v>
      </c>
      <c r="F4" s="33" t="s">
        <v>1836</v>
      </c>
      <c r="G4" s="33" t="s">
        <v>1824</v>
      </c>
      <c r="H4" s="29" t="s">
        <v>1837</v>
      </c>
      <c r="I4" s="30" t="s">
        <v>1838</v>
      </c>
      <c r="J4" s="31" t="s">
        <v>1839</v>
      </c>
      <c r="K4" s="31" t="s">
        <v>1835</v>
      </c>
      <c r="L4" s="32" t="s">
        <v>1840</v>
      </c>
      <c r="M4" s="33" t="s">
        <v>1824</v>
      </c>
      <c r="N4" s="31" t="s">
        <v>1841</v>
      </c>
      <c r="O4" s="33" t="s">
        <v>1840</v>
      </c>
      <c r="P4" s="34" t="s">
        <v>1842</v>
      </c>
      <c r="Q4" s="33" t="s">
        <v>1843</v>
      </c>
      <c r="R4" s="33" t="s">
        <v>1844</v>
      </c>
      <c r="S4" s="45">
        <v>300</v>
      </c>
      <c r="T4" s="46">
        <v>300</v>
      </c>
      <c r="U4" s="33" t="s">
        <v>1845</v>
      </c>
      <c r="V4" s="35" t="s">
        <v>1846</v>
      </c>
      <c r="W4" s="47">
        <v>300</v>
      </c>
      <c r="X4" s="33" t="s">
        <v>1847</v>
      </c>
      <c r="Y4" s="33" t="s">
        <v>1848</v>
      </c>
      <c r="Z4" s="68"/>
      <c r="AA4" s="59"/>
      <c r="AB4" s="91" t="s">
        <v>1849</v>
      </c>
      <c r="AC4" s="68"/>
      <c r="AD4" s="36" t="s">
        <v>1850</v>
      </c>
      <c r="AE4" s="68" t="s">
        <v>1851</v>
      </c>
      <c r="AF4" s="68" t="s">
        <v>1844</v>
      </c>
      <c r="AG4" s="68" t="s">
        <v>1852</v>
      </c>
      <c r="AH4" s="69"/>
      <c r="AI4" s="36"/>
      <c r="AJ4" s="36"/>
      <c r="AK4" s="36"/>
      <c r="AL4" s="36"/>
      <c r="AM4" s="70"/>
      <c r="AN4" s="71"/>
      <c r="AO4" s="36"/>
      <c r="AP4" s="71"/>
      <c r="AQ4" s="36"/>
      <c r="AR4" s="71"/>
      <c r="AS4" s="36"/>
      <c r="AT4" s="71"/>
      <c r="AU4" s="36"/>
      <c r="AV4" s="71"/>
      <c r="AW4" s="36"/>
      <c r="AX4" s="71"/>
      <c r="AY4" s="36"/>
      <c r="AZ4" s="71"/>
      <c r="BA4" s="36"/>
      <c r="BB4" s="71"/>
      <c r="BC4" s="36"/>
      <c r="BD4" s="71"/>
      <c r="BE4" s="36"/>
      <c r="BF4" s="71"/>
      <c r="BG4" s="36"/>
      <c r="BH4" s="71"/>
      <c r="BI4" s="36"/>
      <c r="BJ4" s="71"/>
      <c r="BK4" s="36"/>
      <c r="BL4" s="71"/>
      <c r="BM4" s="36"/>
      <c r="BN4" s="71"/>
      <c r="BO4" s="36"/>
      <c r="CT4" s="72"/>
      <c r="CX4" s="68">
        <f>SUM(CX5:CX466)</f>
        <v>15</v>
      </c>
    </row>
    <row r="5" spans="1:102" s="76" customFormat="1" ht="15">
      <c r="A5" s="13" t="s">
        <v>1853</v>
      </c>
      <c r="B5" s="49"/>
      <c r="C5" s="50"/>
      <c r="D5" s="95"/>
      <c r="E5" s="95"/>
      <c r="F5" s="96"/>
      <c r="G5" s="96"/>
      <c r="H5" s="37"/>
      <c r="I5" s="38"/>
      <c r="J5" s="38"/>
      <c r="K5" s="109"/>
      <c r="L5" s="110"/>
      <c r="M5" s="111"/>
      <c r="N5" s="112"/>
      <c r="O5" s="111"/>
      <c r="P5" s="113"/>
      <c r="Q5" s="111"/>
      <c r="R5" s="3"/>
      <c r="S5" s="109"/>
      <c r="T5" s="109"/>
      <c r="U5" s="111"/>
      <c r="V5" s="112"/>
      <c r="W5" s="112"/>
      <c r="X5" s="3" t="s">
        <v>1845</v>
      </c>
      <c r="Y5" s="3"/>
      <c r="Z5" s="73"/>
      <c r="AA5" s="92"/>
      <c r="AB5" s="78"/>
      <c r="AC5" s="73"/>
      <c r="AD5" s="19"/>
      <c r="AE5" s="73"/>
      <c r="AF5" s="73"/>
      <c r="AG5" s="73"/>
      <c r="AH5" s="74"/>
      <c r="AI5" s="19"/>
      <c r="AJ5" s="19"/>
      <c r="AK5" s="19"/>
      <c r="AL5" s="19"/>
      <c r="AM5" s="75"/>
      <c r="AN5" s="51"/>
      <c r="AO5" s="19"/>
      <c r="AP5" s="51"/>
      <c r="AQ5" s="19"/>
      <c r="AR5" s="51"/>
      <c r="AS5" s="19"/>
      <c r="AT5" s="51"/>
      <c r="AU5" s="19"/>
      <c r="AV5" s="51"/>
      <c r="AW5" s="19"/>
      <c r="AX5" s="51"/>
      <c r="AY5" s="19"/>
      <c r="AZ5" s="51"/>
      <c r="BA5" s="19"/>
      <c r="BB5" s="51"/>
      <c r="BC5" s="19"/>
      <c r="BD5" s="51"/>
      <c r="BE5" s="19"/>
      <c r="BF5" s="51"/>
      <c r="BG5" s="19"/>
      <c r="BH5" s="51"/>
      <c r="BI5" s="19"/>
      <c r="BJ5" s="51"/>
      <c r="BK5" s="19"/>
      <c r="BL5" s="51"/>
      <c r="BM5" s="19"/>
      <c r="BN5" s="51"/>
      <c r="BO5" s="19"/>
      <c r="CT5" s="77"/>
      <c r="CX5" s="73"/>
    </row>
    <row r="6" spans="2:102" ht="15">
      <c r="B6" s="49">
        <v>1</v>
      </c>
      <c r="C6" s="14" t="s">
        <v>1854</v>
      </c>
      <c r="D6" s="98" t="str">
        <f>IF(H6="P",CONCATENATE("Phot Set= ",I6,IF(J6=0,"",CONCATENATE(", qy= ",TEXT(J6,"0.0e+0")))),H6)</f>
        <v>Phot Set= NO2-06</v>
      </c>
      <c r="E6" s="98"/>
      <c r="F6" s="98"/>
      <c r="G6" s="99"/>
      <c r="H6" s="39" t="s">
        <v>1856</v>
      </c>
      <c r="I6" s="49" t="s">
        <v>1857</v>
      </c>
      <c r="K6" s="109"/>
      <c r="L6" s="114"/>
      <c r="M6" s="115"/>
      <c r="N6" s="116"/>
      <c r="O6" s="117"/>
      <c r="P6" s="118"/>
      <c r="Q6" s="117"/>
      <c r="S6" s="116"/>
      <c r="T6" s="116"/>
      <c r="U6" s="109"/>
      <c r="V6" s="116"/>
      <c r="W6" s="116"/>
      <c r="X6" s="117"/>
      <c r="Y6" s="117"/>
      <c r="Z6" s="78"/>
      <c r="AB6" s="78" t="s">
        <v>1855</v>
      </c>
      <c r="AC6" s="78"/>
      <c r="AE6" s="2">
        <v>0</v>
      </c>
      <c r="AF6" s="2">
        <v>0</v>
      </c>
      <c r="AG6" s="2">
        <v>2</v>
      </c>
      <c r="AI6" s="49" t="s">
        <v>1420</v>
      </c>
      <c r="AJ6" s="49" t="s">
        <v>1412</v>
      </c>
      <c r="AN6" s="3">
        <v>1</v>
      </c>
      <c r="AO6" s="49" t="s">
        <v>1418</v>
      </c>
      <c r="AP6" s="3">
        <v>1</v>
      </c>
      <c r="AQ6" s="49" t="s">
        <v>1460</v>
      </c>
      <c r="CU6" s="1" t="s">
        <v>1854</v>
      </c>
      <c r="CX6" s="2">
        <f>IF(CU6=C6,0,1)</f>
        <v>0</v>
      </c>
    </row>
    <row r="7" spans="2:102" ht="15">
      <c r="B7" s="49">
        <v>2</v>
      </c>
      <c r="C7" s="14" t="s">
        <v>1858</v>
      </c>
      <c r="D7" s="95">
        <f>IF(OR(H7="T",H7="C"),S7,H7)</f>
        <v>5.683784000000001E-34</v>
      </c>
      <c r="E7" s="95">
        <f>IF(H7="C","",K7)</f>
        <v>5.683784000000001E-34</v>
      </c>
      <c r="F7" s="96">
        <f>IF(H7="C","",U7)</f>
        <v>0</v>
      </c>
      <c r="G7" s="96">
        <f>IF(M7=0,"",M7)</f>
        <v>-2.6</v>
      </c>
      <c r="H7" s="39" t="s">
        <v>1859</v>
      </c>
      <c r="K7" s="119">
        <f>(6E-34*AtmO2)+(5.6E-34*AtmN2)</f>
        <v>5.683784000000001E-34</v>
      </c>
      <c r="L7" s="120">
        <v>0</v>
      </c>
      <c r="M7" s="117">
        <v>-2.6</v>
      </c>
      <c r="N7" s="116"/>
      <c r="O7" s="120"/>
      <c r="P7" s="118"/>
      <c r="Q7" s="117"/>
      <c r="S7" s="40">
        <f aca="true" t="shared" si="0" ref="S7:S70">IF(OR(H7="T",H7="C"),T7,IF(H7="F",(V7/(1+(V7/T7)))*Q7^(1/(1+((LOG10(V7/T7)/R7)^2))),IF(H7="S1",T7+V7,IF(H7="S2",T7+(V7/(1+(V7/T8))),""))))</f>
        <v>5.683784000000001E-34</v>
      </c>
      <c r="T7" s="40">
        <f>K7*EXP(-L7/T$4)*((T$4/300)^M7)</f>
        <v>5.683784000000001E-34</v>
      </c>
      <c r="U7" s="15">
        <f>L7*Rfac</f>
        <v>0</v>
      </c>
      <c r="X7" s="117"/>
      <c r="Y7" s="117"/>
      <c r="CU7" s="1" t="s">
        <v>1858</v>
      </c>
      <c r="CX7" s="2">
        <f aca="true" t="shared" si="1" ref="CX7:CX70">IF(CU7=C7,0,1)</f>
        <v>0</v>
      </c>
    </row>
    <row r="8" spans="2:102" ht="15">
      <c r="B8" s="49">
        <v>3</v>
      </c>
      <c r="C8" s="14" t="s">
        <v>1860</v>
      </c>
      <c r="D8" s="95">
        <f>IF(OR(H8="T",H8="C"),S8,H8)</f>
        <v>8.33555544450749E-15</v>
      </c>
      <c r="E8" s="95">
        <f>IF(H8="C","",K8)</f>
        <v>8E-12</v>
      </c>
      <c r="F8" s="96">
        <f>IF(H8="C","",U8)</f>
        <v>4.093632</v>
      </c>
      <c r="G8" s="96">
        <f>IF(M8=0,"",M8)</f>
      </c>
      <c r="H8" s="39" t="s">
        <v>1859</v>
      </c>
      <c r="K8" s="116">
        <v>8E-12</v>
      </c>
      <c r="L8" s="120">
        <v>2060</v>
      </c>
      <c r="M8" s="117">
        <v>0</v>
      </c>
      <c r="N8" s="116"/>
      <c r="O8" s="120"/>
      <c r="P8" s="118"/>
      <c r="Q8" s="117"/>
      <c r="S8" s="40">
        <f t="shared" si="0"/>
        <v>8.33555544450749E-15</v>
      </c>
      <c r="T8" s="40">
        <f>K8*EXP(-L8/T$4)*((T$4/300)^M8)</f>
        <v>8.33555544450749E-15</v>
      </c>
      <c r="U8" s="15">
        <f>L8*Rfac</f>
        <v>4.093632</v>
      </c>
      <c r="X8" s="117"/>
      <c r="Y8" s="117"/>
      <c r="CU8" s="1" t="s">
        <v>1860</v>
      </c>
      <c r="CX8" s="2">
        <f t="shared" si="1"/>
        <v>0</v>
      </c>
    </row>
    <row r="9" spans="2:102" ht="15">
      <c r="B9" s="49">
        <v>4</v>
      </c>
      <c r="C9" s="14" t="s">
        <v>1862</v>
      </c>
      <c r="D9" s="95">
        <f>S9</f>
        <v>1.6406339886504153E-12</v>
      </c>
      <c r="E9" s="103" t="str">
        <f>IF(H9="F","Falloff, F="&amp;TEXT(Q9,"0.00")&amp;", N="&amp;TEXT(R9,"0.00"),H9)</f>
        <v>Falloff, F=0.60, N=1.00</v>
      </c>
      <c r="F9" s="103"/>
      <c r="G9" s="99"/>
      <c r="H9" s="39" t="s">
        <v>1843</v>
      </c>
      <c r="K9" s="116">
        <v>3E-11</v>
      </c>
      <c r="L9" s="120">
        <v>0</v>
      </c>
      <c r="M9" s="117">
        <v>0</v>
      </c>
      <c r="N9" s="116">
        <v>9E-32</v>
      </c>
      <c r="O9" s="120">
        <v>0</v>
      </c>
      <c r="P9" s="118">
        <v>-1.5</v>
      </c>
      <c r="Q9" s="117">
        <v>0.6</v>
      </c>
      <c r="R9" s="41">
        <v>1</v>
      </c>
      <c r="S9" s="40">
        <f t="shared" si="0"/>
        <v>1.6406339886504153E-12</v>
      </c>
      <c r="T9" s="40">
        <f>K9*EXP(-L9/T$4)*((T$4/300)^M9)</f>
        <v>3E-11</v>
      </c>
      <c r="U9" s="15">
        <f>L9*Rfac</f>
        <v>0</v>
      </c>
      <c r="V9" s="40">
        <f>W9*V$3*7.3395E+21/T$4</f>
        <v>2.20185E-12</v>
      </c>
      <c r="W9" s="40">
        <f>N9*EXP(-O9/T$4)*(T$4/300)^P9</f>
        <v>9E-32</v>
      </c>
      <c r="X9" s="15">
        <f>O9*Rfac</f>
        <v>0</v>
      </c>
      <c r="Y9" s="15"/>
      <c r="CU9" s="1" t="s">
        <v>1862</v>
      </c>
      <c r="CX9" s="2">
        <f t="shared" si="1"/>
        <v>0</v>
      </c>
    </row>
    <row r="10" spans="2:102" ht="15">
      <c r="B10" s="49" t="s">
        <v>1861</v>
      </c>
      <c r="D10" s="137" t="str">
        <f>IF(H9="F","0: ",H9)</f>
        <v>0: </v>
      </c>
      <c r="E10" s="95">
        <f>N9</f>
        <v>9E-32</v>
      </c>
      <c r="F10" s="96">
        <f>X9</f>
        <v>0</v>
      </c>
      <c r="G10" s="96">
        <f>P9</f>
        <v>-1.5</v>
      </c>
      <c r="K10" s="116"/>
      <c r="L10" s="120"/>
      <c r="M10" s="117"/>
      <c r="N10" s="116"/>
      <c r="O10" s="120"/>
      <c r="P10" s="118"/>
      <c r="Q10" s="117"/>
      <c r="S10" s="40">
        <f t="shared" si="0"/>
      </c>
      <c r="X10" s="117"/>
      <c r="Y10" s="117"/>
      <c r="CX10" s="2">
        <f t="shared" si="1"/>
        <v>0</v>
      </c>
    </row>
    <row r="11" spans="2:102" ht="15">
      <c r="B11" s="49" t="s">
        <v>1861</v>
      </c>
      <c r="D11" s="137" t="str">
        <f>IF(H9="F","inf: ",H9)</f>
        <v>inf: </v>
      </c>
      <c r="E11" s="95">
        <f>K9</f>
        <v>3E-11</v>
      </c>
      <c r="F11" s="96">
        <f>U9</f>
        <v>0</v>
      </c>
      <c r="G11" s="96">
        <f>M9</f>
        <v>0</v>
      </c>
      <c r="K11" s="116"/>
      <c r="L11" s="120"/>
      <c r="M11" s="117"/>
      <c r="N11" s="116"/>
      <c r="O11" s="120"/>
      <c r="P11" s="118"/>
      <c r="Q11" s="117"/>
      <c r="S11" s="40">
        <f t="shared" si="0"/>
      </c>
      <c r="X11" s="117"/>
      <c r="Y11" s="117"/>
      <c r="CX11" s="2">
        <f t="shared" si="1"/>
        <v>0</v>
      </c>
    </row>
    <row r="12" spans="2:102" ht="15">
      <c r="B12" s="49">
        <v>5</v>
      </c>
      <c r="C12" s="14" t="s">
        <v>1863</v>
      </c>
      <c r="D12" s="95">
        <f>IF(OR(H12="T",H12="C"),S12,H12)</f>
        <v>1.0292492633075457E-11</v>
      </c>
      <c r="E12" s="95">
        <f>IF(H12="C","",K12)</f>
        <v>5.5E-12</v>
      </c>
      <c r="F12" s="96">
        <f>IF(H12="C","",U12)</f>
        <v>-0.3735936</v>
      </c>
      <c r="G12" s="96">
        <f>IF(M12=0,"",M12)</f>
      </c>
      <c r="H12" s="39" t="s">
        <v>1859</v>
      </c>
      <c r="K12" s="116">
        <v>5.5E-12</v>
      </c>
      <c r="L12" s="120">
        <v>-188</v>
      </c>
      <c r="M12" s="117">
        <v>0</v>
      </c>
      <c r="N12" s="109"/>
      <c r="O12" s="109"/>
      <c r="P12" s="109"/>
      <c r="Q12" s="109"/>
      <c r="R12" s="38"/>
      <c r="S12" s="40">
        <f t="shared" si="0"/>
        <v>1.0292492633075457E-11</v>
      </c>
      <c r="T12" s="40">
        <f>K12*EXP(-L12/T$4)*((T$4/300)^M12)</f>
        <v>1.0292492633075457E-11</v>
      </c>
      <c r="U12" s="15">
        <f>L12*Rfac</f>
        <v>-0.3735936</v>
      </c>
      <c r="X12" s="121">
        <f>COLUMN(X6)</f>
        <v>24</v>
      </c>
      <c r="Y12" s="121"/>
      <c r="CU12" s="1" t="s">
        <v>1863</v>
      </c>
      <c r="CX12" s="2">
        <f t="shared" si="1"/>
        <v>0</v>
      </c>
    </row>
    <row r="13" spans="2:102" ht="15">
      <c r="B13" s="49">
        <v>6</v>
      </c>
      <c r="C13" s="14" t="s">
        <v>1864</v>
      </c>
      <c r="D13" s="95">
        <f>S13</f>
        <v>3.2395116952015907E-12</v>
      </c>
      <c r="E13" s="103" t="str">
        <f>IF(H13="F","Falloff, F="&amp;TEXT(Q13,"0.00")&amp;", N="&amp;TEXT(R13,"0.00"),H13)</f>
        <v>Falloff, F=0.60, N=1.00</v>
      </c>
      <c r="F13" s="103"/>
      <c r="G13" s="99"/>
      <c r="H13" s="39" t="s">
        <v>1843</v>
      </c>
      <c r="K13" s="116">
        <v>2.2E-11</v>
      </c>
      <c r="L13" s="120">
        <v>0</v>
      </c>
      <c r="M13" s="117">
        <v>-0.7</v>
      </c>
      <c r="N13" s="116">
        <v>2.5E-31</v>
      </c>
      <c r="O13" s="120">
        <v>0</v>
      </c>
      <c r="P13" s="118">
        <v>-1.8</v>
      </c>
      <c r="Q13" s="117">
        <v>0.6</v>
      </c>
      <c r="R13" s="41">
        <v>1</v>
      </c>
      <c r="S13" s="40">
        <f t="shared" si="0"/>
        <v>3.2395116952015907E-12</v>
      </c>
      <c r="T13" s="40">
        <f>K13*EXP(-L13/T$4)*((T$4/300)^M13)</f>
        <v>2.2E-11</v>
      </c>
      <c r="U13" s="15">
        <f>L13*Rfac</f>
        <v>0</v>
      </c>
      <c r="V13" s="40">
        <f>W13*V$3*7.3395E+21/T$4</f>
        <v>6.116250000000001E-12</v>
      </c>
      <c r="W13" s="40">
        <f>N13*EXP(-O13/T$4)*(T$4/300)^P13</f>
        <v>2.5E-31</v>
      </c>
      <c r="X13" s="15">
        <f>O13*Rfac</f>
        <v>0</v>
      </c>
      <c r="Y13" s="15"/>
      <c r="CU13" s="1" t="s">
        <v>1864</v>
      </c>
      <c r="CX13" s="2">
        <f t="shared" si="1"/>
        <v>0</v>
      </c>
    </row>
    <row r="14" spans="2:102" ht="15">
      <c r="B14" s="49" t="s">
        <v>1861</v>
      </c>
      <c r="D14" s="137" t="str">
        <f>IF(H13="F","0: ",H13)</f>
        <v>0: </v>
      </c>
      <c r="E14" s="95">
        <f>N13</f>
        <v>2.5E-31</v>
      </c>
      <c r="F14" s="96">
        <f>X13</f>
        <v>0</v>
      </c>
      <c r="G14" s="96">
        <f>P13</f>
        <v>-1.8</v>
      </c>
      <c r="K14" s="116"/>
      <c r="L14" s="120"/>
      <c r="M14" s="117"/>
      <c r="N14" s="116"/>
      <c r="O14" s="120"/>
      <c r="P14" s="118"/>
      <c r="Q14" s="117"/>
      <c r="S14" s="40">
        <f t="shared" si="0"/>
      </c>
      <c r="CX14" s="2">
        <f t="shared" si="1"/>
        <v>0</v>
      </c>
    </row>
    <row r="15" spans="2:102" ht="15">
      <c r="B15" s="49" t="s">
        <v>1861</v>
      </c>
      <c r="D15" s="137" t="str">
        <f>IF(H13="F","inf: ",H13)</f>
        <v>inf: </v>
      </c>
      <c r="E15" s="95">
        <f>K13</f>
        <v>2.2E-11</v>
      </c>
      <c r="F15" s="96">
        <f>U13</f>
        <v>0</v>
      </c>
      <c r="G15" s="96">
        <f>M13</f>
        <v>-0.7</v>
      </c>
      <c r="K15" s="116"/>
      <c r="L15" s="120"/>
      <c r="M15" s="117"/>
      <c r="N15" s="116"/>
      <c r="O15" s="120"/>
      <c r="P15" s="118"/>
      <c r="Q15" s="117"/>
      <c r="S15" s="40">
        <f t="shared" si="0"/>
      </c>
      <c r="CX15" s="2">
        <f t="shared" si="1"/>
        <v>0</v>
      </c>
    </row>
    <row r="16" spans="2:102" ht="15">
      <c r="B16" s="49">
        <v>7</v>
      </c>
      <c r="C16" s="14" t="s">
        <v>1865</v>
      </c>
      <c r="D16" s="95">
        <f>IF(OR(H16="T",H16="C"),S16,H16)</f>
        <v>2.02138409972564E-14</v>
      </c>
      <c r="E16" s="95">
        <f>IF(H16="C","",K16)</f>
        <v>3E-12</v>
      </c>
      <c r="F16" s="96">
        <f>IF(H16="C","",U16)</f>
        <v>2.9808000000000003</v>
      </c>
      <c r="G16" s="96">
        <f>IF(M16=0,"",M16)</f>
      </c>
      <c r="H16" s="39" t="s">
        <v>1859</v>
      </c>
      <c r="K16" s="116">
        <v>3E-12</v>
      </c>
      <c r="L16" s="120">
        <v>1500</v>
      </c>
      <c r="M16" s="117">
        <v>0</v>
      </c>
      <c r="N16" s="116"/>
      <c r="O16" s="120"/>
      <c r="P16" s="118"/>
      <c r="Q16" s="117"/>
      <c r="S16" s="40">
        <f t="shared" si="0"/>
        <v>2.02138409972564E-14</v>
      </c>
      <c r="T16" s="40">
        <f>K16*EXP(-L16/T$4)*((T$4/300)^M16)</f>
        <v>2.02138409972564E-14</v>
      </c>
      <c r="U16" s="15">
        <f>L16*Rfac</f>
        <v>2.9808000000000003</v>
      </c>
      <c r="V16" s="116"/>
      <c r="W16" s="116"/>
      <c r="X16" s="117"/>
      <c r="Y16" s="117"/>
      <c r="CU16" s="1" t="s">
        <v>1865</v>
      </c>
      <c r="CX16" s="2">
        <f t="shared" si="1"/>
        <v>0</v>
      </c>
    </row>
    <row r="17" spans="2:102" ht="15">
      <c r="B17" s="49">
        <v>8</v>
      </c>
      <c r="C17" s="14" t="s">
        <v>1866</v>
      </c>
      <c r="D17" s="95">
        <f>IF(OR(H17="T",H17="C"),S17,H17)</f>
        <v>3.719090969046845E-17</v>
      </c>
      <c r="E17" s="95">
        <f>IF(H17="C","",K17)</f>
        <v>1.4E-13</v>
      </c>
      <c r="F17" s="96">
        <f>IF(H17="C","",U17)</f>
        <v>4.908384000000001</v>
      </c>
      <c r="G17" s="96">
        <f>IF(M17=0,"",M17)</f>
      </c>
      <c r="H17" s="39" t="s">
        <v>1859</v>
      </c>
      <c r="K17" s="116">
        <v>1.4E-13</v>
      </c>
      <c r="L17" s="120">
        <v>2470</v>
      </c>
      <c r="M17" s="117">
        <v>0</v>
      </c>
      <c r="N17" s="116"/>
      <c r="O17" s="120"/>
      <c r="P17" s="118"/>
      <c r="Q17" s="117"/>
      <c r="S17" s="40">
        <f t="shared" si="0"/>
        <v>3.719090969046845E-17</v>
      </c>
      <c r="T17" s="40">
        <f>K17*EXP(-L17/T$4)*((T$4/300)^M17)</f>
        <v>3.719090969046845E-17</v>
      </c>
      <c r="U17" s="15">
        <f>L17*Rfac</f>
        <v>4.908384000000001</v>
      </c>
      <c r="V17" s="116"/>
      <c r="W17" s="116"/>
      <c r="X17" s="117"/>
      <c r="Y17" s="117"/>
      <c r="CU17" s="1" t="s">
        <v>1866</v>
      </c>
      <c r="CX17" s="2">
        <f t="shared" si="1"/>
        <v>0</v>
      </c>
    </row>
    <row r="18" spans="2:102" ht="15">
      <c r="B18" s="49">
        <v>9</v>
      </c>
      <c r="C18" s="14" t="s">
        <v>1867</v>
      </c>
      <c r="D18" s="95">
        <f>IF(OR(H18="T",H18="C"),S18,H18)</f>
        <v>2.5972503599796064E-11</v>
      </c>
      <c r="E18" s="95">
        <f>IF(H18="C","",K18)</f>
        <v>1.8E-11</v>
      </c>
      <c r="F18" s="96">
        <f>IF(H18="C","",U18)</f>
        <v>-0.218592</v>
      </c>
      <c r="G18" s="96">
        <f>IF(M18=0,"",M18)</f>
      </c>
      <c r="H18" s="39" t="s">
        <v>1859</v>
      </c>
      <c r="K18" s="116">
        <v>1.8E-11</v>
      </c>
      <c r="L18" s="120">
        <v>-110</v>
      </c>
      <c r="M18" s="117">
        <v>0</v>
      </c>
      <c r="N18" s="116"/>
      <c r="O18" s="120"/>
      <c r="P18" s="118"/>
      <c r="Q18" s="117"/>
      <c r="S18" s="40">
        <f t="shared" si="0"/>
        <v>2.5972503599796064E-11</v>
      </c>
      <c r="T18" s="40">
        <f>K18*EXP(-L18/T$4)*((T$4/300)^M18)</f>
        <v>2.5972503599796064E-11</v>
      </c>
      <c r="U18" s="15">
        <f>L18*Rfac</f>
        <v>-0.218592</v>
      </c>
      <c r="V18" s="116"/>
      <c r="W18" s="116"/>
      <c r="X18" s="117"/>
      <c r="Y18" s="117"/>
      <c r="CU18" s="1" t="s">
        <v>1867</v>
      </c>
      <c r="CX18" s="2">
        <f t="shared" si="1"/>
        <v>0</v>
      </c>
    </row>
    <row r="19" spans="2:102" ht="15">
      <c r="B19" s="49">
        <v>10</v>
      </c>
      <c r="C19" s="14" t="s">
        <v>1868</v>
      </c>
      <c r="D19" s="95">
        <f>IF(OR(H19="T",H19="C"),S19,H19)</f>
        <v>1.9309344218407133E-38</v>
      </c>
      <c r="E19" s="95">
        <f>IF(H19="C","",K19)</f>
        <v>3.3E-39</v>
      </c>
      <c r="F19" s="96">
        <f>IF(H19="C","",U19)</f>
        <v>-1.0532160000000002</v>
      </c>
      <c r="G19" s="96">
        <f>IF(M19=0,"",M19)</f>
      </c>
      <c r="H19" s="39" t="s">
        <v>1859</v>
      </c>
      <c r="K19" s="116">
        <v>3.3E-39</v>
      </c>
      <c r="L19" s="120">
        <v>-530</v>
      </c>
      <c r="M19" s="117">
        <v>0</v>
      </c>
      <c r="N19" s="116"/>
      <c r="O19" s="120"/>
      <c r="P19" s="118"/>
      <c r="Q19" s="117"/>
      <c r="S19" s="40">
        <f t="shared" si="0"/>
        <v>1.9309344218407133E-38</v>
      </c>
      <c r="T19" s="40">
        <f>K19*EXP(-L19/T$4)*((T$4/300)^M19)</f>
        <v>1.9309344218407133E-38</v>
      </c>
      <c r="U19" s="15">
        <f>L19*Rfac</f>
        <v>-1.0532160000000002</v>
      </c>
      <c r="V19" s="116"/>
      <c r="W19" s="116"/>
      <c r="X19" s="117"/>
      <c r="Y19" s="117"/>
      <c r="CU19" s="1" t="s">
        <v>1868</v>
      </c>
      <c r="CX19" s="2">
        <f t="shared" si="1"/>
        <v>0</v>
      </c>
    </row>
    <row r="20" spans="2:102" ht="15">
      <c r="B20" s="49">
        <v>11</v>
      </c>
      <c r="C20" s="14" t="s">
        <v>1869</v>
      </c>
      <c r="D20" s="95">
        <f>S20</f>
        <v>1.2364755471612923E-12</v>
      </c>
      <c r="E20" s="103" t="str">
        <f>IF(H20="F","Falloff, F="&amp;TEXT(Q20,"0.00")&amp;", N="&amp;TEXT(R20,"0.00"),H20)</f>
        <v>Falloff, F=0.35, N=1.33</v>
      </c>
      <c r="F20" s="103"/>
      <c r="G20" s="99"/>
      <c r="H20" s="39" t="s">
        <v>1843</v>
      </c>
      <c r="K20" s="116">
        <v>1.9E-12</v>
      </c>
      <c r="L20" s="120">
        <v>0</v>
      </c>
      <c r="M20" s="117">
        <v>0.2</v>
      </c>
      <c r="N20" s="116">
        <v>3.6E-30</v>
      </c>
      <c r="O20" s="120">
        <v>0</v>
      </c>
      <c r="P20" s="118">
        <v>-4.1</v>
      </c>
      <c r="Q20" s="117">
        <v>0.35</v>
      </c>
      <c r="R20" s="15">
        <f>0.75-(1.27*LOG10(Q20))</f>
        <v>1.32903358367515</v>
      </c>
      <c r="S20" s="40">
        <f t="shared" si="0"/>
        <v>1.2364755471612923E-12</v>
      </c>
      <c r="T20" s="40">
        <f>K20*EXP(-L20/T$4)*((T$4/300)^M20)</f>
        <v>1.9E-12</v>
      </c>
      <c r="U20" s="15">
        <f>L20*Rfac</f>
        <v>0</v>
      </c>
      <c r="V20" s="40">
        <f>W20*V$3*7.3395E+21/T$4</f>
        <v>8.807400000000001E-11</v>
      </c>
      <c r="W20" s="40">
        <f>N20*EXP(-O20/T$4)*(T$4/300)^P20</f>
        <v>3.6E-30</v>
      </c>
      <c r="X20" s="15">
        <f>O20*Rfac</f>
        <v>0</v>
      </c>
      <c r="Y20" s="15"/>
      <c r="CU20" s="1" t="s">
        <v>1869</v>
      </c>
      <c r="CX20" s="2">
        <f t="shared" si="1"/>
        <v>0</v>
      </c>
    </row>
    <row r="21" spans="2:102" ht="15">
      <c r="B21" s="49" t="s">
        <v>1861</v>
      </c>
      <c r="D21" s="137" t="str">
        <f>IF(H20="F","0: ",H20)</f>
        <v>0: </v>
      </c>
      <c r="E21" s="95">
        <f>N20</f>
        <v>3.6E-30</v>
      </c>
      <c r="F21" s="96">
        <f>X20</f>
        <v>0</v>
      </c>
      <c r="G21" s="96">
        <f>P20</f>
        <v>-4.1</v>
      </c>
      <c r="K21" s="116"/>
      <c r="L21" s="120"/>
      <c r="M21" s="117"/>
      <c r="N21" s="116"/>
      <c r="O21" s="120"/>
      <c r="P21" s="118"/>
      <c r="Q21" s="117"/>
      <c r="S21" s="40">
        <f t="shared" si="0"/>
      </c>
      <c r="CX21" s="2">
        <f t="shared" si="1"/>
        <v>0</v>
      </c>
    </row>
    <row r="22" spans="2:102" ht="15">
      <c r="B22" s="49" t="s">
        <v>1861</v>
      </c>
      <c r="D22" s="137" t="str">
        <f>IF(H20="F","inf: ",H20)</f>
        <v>inf: </v>
      </c>
      <c r="E22" s="95">
        <f>K20</f>
        <v>1.9E-12</v>
      </c>
      <c r="F22" s="96">
        <f>U20</f>
        <v>0</v>
      </c>
      <c r="G22" s="96">
        <f>M20</f>
        <v>0.2</v>
      </c>
      <c r="K22" s="116"/>
      <c r="L22" s="120"/>
      <c r="M22" s="117"/>
      <c r="N22" s="116"/>
      <c r="O22" s="120"/>
      <c r="P22" s="118"/>
      <c r="Q22" s="117"/>
      <c r="S22" s="40">
        <f t="shared" si="0"/>
      </c>
      <c r="CX22" s="2">
        <f t="shared" si="1"/>
        <v>0</v>
      </c>
    </row>
    <row r="23" spans="2:102" ht="15">
      <c r="B23" s="49">
        <v>12</v>
      </c>
      <c r="C23" s="14" t="s">
        <v>1870</v>
      </c>
      <c r="D23" s="95">
        <f>S23</f>
        <v>0.05687716980975415</v>
      </c>
      <c r="E23" s="103" t="str">
        <f>IF(H23="F","Falloff, F="&amp;TEXT(Q23,"0.00")&amp;", N="&amp;TEXT(R23,"0.00"),H23)</f>
        <v>Falloff, F=0.35, N=1.33</v>
      </c>
      <c r="F23" s="103"/>
      <c r="G23" s="99"/>
      <c r="H23" s="39" t="s">
        <v>1843</v>
      </c>
      <c r="K23" s="116">
        <v>970000000000000</v>
      </c>
      <c r="L23" s="120">
        <v>11080</v>
      </c>
      <c r="M23" s="117">
        <v>0.1</v>
      </c>
      <c r="N23" s="116">
        <v>0.0013</v>
      </c>
      <c r="O23" s="120">
        <v>11000</v>
      </c>
      <c r="P23" s="118">
        <v>-3.5</v>
      </c>
      <c r="Q23" s="117">
        <v>0.35</v>
      </c>
      <c r="R23" s="15">
        <f>0.75-(1.27*LOG10(Q23))</f>
        <v>1.32903358367515</v>
      </c>
      <c r="S23" s="40">
        <f t="shared" si="0"/>
        <v>0.05687716980975415</v>
      </c>
      <c r="T23" s="40">
        <f>K23*EXP(-L23/T$4)*((T$4/300)^M23)</f>
        <v>0.08847669049410709</v>
      </c>
      <c r="U23" s="15">
        <f>L23*Rfac</f>
        <v>22.018176</v>
      </c>
      <c r="V23" s="40">
        <f>W23*V$3*7.3395E+21/T$4</f>
        <v>3.7875429755561223</v>
      </c>
      <c r="W23" s="40">
        <f>N23*EXP(-O23/T$4)*(T$4/300)^P23</f>
        <v>1.5481475477441741E-19</v>
      </c>
      <c r="X23" s="15">
        <f>O23*Rfac</f>
        <v>21.8592</v>
      </c>
      <c r="Y23" s="15"/>
      <c r="CU23" s="1" t="s">
        <v>1870</v>
      </c>
      <c r="CX23" s="2">
        <f t="shared" si="1"/>
        <v>0</v>
      </c>
    </row>
    <row r="24" spans="2:102" ht="15">
      <c r="B24" s="49" t="s">
        <v>1861</v>
      </c>
      <c r="D24" s="137" t="str">
        <f>IF(H23="F","0: ",H23)</f>
        <v>0: </v>
      </c>
      <c r="E24" s="95">
        <f>N23</f>
        <v>0.0013</v>
      </c>
      <c r="F24" s="96">
        <f>X23</f>
        <v>21.8592</v>
      </c>
      <c r="G24" s="96">
        <f>P23</f>
        <v>-3.5</v>
      </c>
      <c r="K24" s="116"/>
      <c r="L24" s="120"/>
      <c r="M24" s="117"/>
      <c r="N24" s="116"/>
      <c r="O24" s="120"/>
      <c r="P24" s="118"/>
      <c r="Q24" s="117"/>
      <c r="S24" s="40">
        <f t="shared" si="0"/>
      </c>
      <c r="CX24" s="2">
        <f t="shared" si="1"/>
        <v>0</v>
      </c>
    </row>
    <row r="25" spans="2:102" ht="15">
      <c r="B25" s="49" t="s">
        <v>1861</v>
      </c>
      <c r="D25" s="137" t="str">
        <f>IF(H23="F","inf: ",H23)</f>
        <v>inf: </v>
      </c>
      <c r="E25" s="95">
        <f>K23</f>
        <v>970000000000000</v>
      </c>
      <c r="F25" s="96">
        <f>U23</f>
        <v>22.018176</v>
      </c>
      <c r="G25" s="96">
        <f>M23</f>
        <v>0.1</v>
      </c>
      <c r="K25" s="116"/>
      <c r="L25" s="120"/>
      <c r="M25" s="117"/>
      <c r="N25" s="116"/>
      <c r="O25" s="120"/>
      <c r="P25" s="118"/>
      <c r="Q25" s="117"/>
      <c r="S25" s="40">
        <f t="shared" si="0"/>
      </c>
      <c r="CX25" s="2">
        <f t="shared" si="1"/>
        <v>0</v>
      </c>
    </row>
    <row r="26" spans="2:102" ht="15">
      <c r="B26" s="49">
        <v>13</v>
      </c>
      <c r="C26" s="14" t="s">
        <v>1871</v>
      </c>
      <c r="D26" s="95">
        <f>IF(OR(H26="T",H26="C"),S26,H26)</f>
        <v>2.5E-22</v>
      </c>
      <c r="E26" s="95"/>
      <c r="F26" s="96">
        <f>IF(H26="C","",U26)</f>
      </c>
      <c r="G26" s="96">
        <f>IF(M26=0,"",M26)</f>
      </c>
      <c r="H26" s="39" t="s">
        <v>1851</v>
      </c>
      <c r="K26" s="116">
        <v>2.5E-22</v>
      </c>
      <c r="L26" s="120"/>
      <c r="M26" s="117"/>
      <c r="N26" s="116"/>
      <c r="O26" s="120"/>
      <c r="P26" s="118"/>
      <c r="Q26" s="117"/>
      <c r="S26" s="40">
        <f t="shared" si="0"/>
        <v>2.5E-22</v>
      </c>
      <c r="T26" s="40">
        <f>K26*EXP(-L26/T$4)*((T$4/300)^M26)</f>
        <v>2.5E-22</v>
      </c>
      <c r="U26" s="117"/>
      <c r="V26" s="116"/>
      <c r="W26" s="116"/>
      <c r="X26" s="117"/>
      <c r="Y26" s="117"/>
      <c r="CU26" s="1" t="s">
        <v>1871</v>
      </c>
      <c r="CX26" s="2">
        <f t="shared" si="1"/>
        <v>0</v>
      </c>
    </row>
    <row r="27" spans="2:102" ht="15">
      <c r="B27" s="49">
        <v>14</v>
      </c>
      <c r="C27" s="14" t="s">
        <v>1872</v>
      </c>
      <c r="D27" s="95">
        <f>IF(OR(H27="T",H27="C"),S27,H27)</f>
        <v>1.8E-39</v>
      </c>
      <c r="E27" s="95"/>
      <c r="F27" s="96">
        <f>IF(H27="C","",U27)</f>
      </c>
      <c r="G27" s="96">
        <f>IF(M27=0,"",M27)</f>
      </c>
      <c r="H27" s="39" t="s">
        <v>1851</v>
      </c>
      <c r="K27" s="116">
        <v>1.8E-39</v>
      </c>
      <c r="L27" s="120"/>
      <c r="M27" s="117"/>
      <c r="N27" s="116"/>
      <c r="O27" s="120"/>
      <c r="P27" s="118"/>
      <c r="Q27" s="117"/>
      <c r="S27" s="40">
        <f t="shared" si="0"/>
        <v>1.8E-39</v>
      </c>
      <c r="T27" s="40">
        <f>K27*EXP(-L27/T$4)*((T$4/300)^M27)</f>
        <v>1.8E-39</v>
      </c>
      <c r="U27" s="117"/>
      <c r="V27" s="116"/>
      <c r="W27" s="116"/>
      <c r="X27" s="117"/>
      <c r="Y27" s="117"/>
      <c r="CU27" s="1" t="s">
        <v>1872</v>
      </c>
      <c r="CX27" s="2">
        <f t="shared" si="1"/>
        <v>0</v>
      </c>
    </row>
    <row r="28" spans="3:102" ht="15">
      <c r="C28" s="14" t="s">
        <v>1873</v>
      </c>
      <c r="D28" s="98" t="s">
        <v>1874</v>
      </c>
      <c r="E28" s="98"/>
      <c r="F28" s="98"/>
      <c r="G28" s="99"/>
      <c r="K28" s="116"/>
      <c r="L28" s="120"/>
      <c r="M28" s="117"/>
      <c r="N28" s="116"/>
      <c r="O28" s="120"/>
      <c r="P28" s="118"/>
      <c r="Q28" s="117"/>
      <c r="S28" s="40">
        <f t="shared" si="0"/>
      </c>
      <c r="T28" s="116"/>
      <c r="U28" s="117"/>
      <c r="V28" s="116"/>
      <c r="W28" s="116"/>
      <c r="X28" s="117"/>
      <c r="Y28" s="117"/>
      <c r="CU28" s="1" t="s">
        <v>1873</v>
      </c>
      <c r="CX28" s="2">
        <f t="shared" si="1"/>
        <v>0</v>
      </c>
    </row>
    <row r="29" spans="3:102" ht="15">
      <c r="C29" s="14" t="s">
        <v>1875</v>
      </c>
      <c r="D29" s="98" t="s">
        <v>1874</v>
      </c>
      <c r="E29" s="98"/>
      <c r="F29" s="98"/>
      <c r="G29" s="99"/>
      <c r="K29" s="116"/>
      <c r="L29" s="120"/>
      <c r="M29" s="117"/>
      <c r="N29" s="116"/>
      <c r="O29" s="120"/>
      <c r="P29" s="118"/>
      <c r="Q29" s="117"/>
      <c r="S29" s="40">
        <f t="shared" si="0"/>
      </c>
      <c r="T29" s="116"/>
      <c r="U29" s="117"/>
      <c r="V29" s="116"/>
      <c r="W29" s="116"/>
      <c r="X29" s="117"/>
      <c r="Y29" s="117"/>
      <c r="CU29" s="1" t="s">
        <v>1875</v>
      </c>
      <c r="CX29" s="2">
        <f t="shared" si="1"/>
        <v>0</v>
      </c>
    </row>
    <row r="30" spans="2:102" ht="15">
      <c r="B30" s="49">
        <v>15</v>
      </c>
      <c r="C30" s="14" t="s">
        <v>1876</v>
      </c>
      <c r="D30" s="95">
        <f>IF(OR(H30="T",H30="C"),S30,H30)</f>
        <v>6.748009569214966E-16</v>
      </c>
      <c r="E30" s="95">
        <f>IF(H30="C","",K30)</f>
        <v>4.5E-14</v>
      </c>
      <c r="F30" s="96">
        <f>IF(H30="C","",U30)</f>
        <v>2.5038720000000003</v>
      </c>
      <c r="G30" s="96">
        <f>IF(M30=0,"",M30)</f>
      </c>
      <c r="H30" s="39" t="s">
        <v>1859</v>
      </c>
      <c r="K30" s="116">
        <v>4.5E-14</v>
      </c>
      <c r="L30" s="120">
        <v>1260</v>
      </c>
      <c r="M30" s="117">
        <v>0</v>
      </c>
      <c r="N30" s="116"/>
      <c r="O30" s="120"/>
      <c r="P30" s="118"/>
      <c r="Q30" s="117"/>
      <c r="S30" s="40">
        <f t="shared" si="0"/>
        <v>6.748009569214966E-16</v>
      </c>
      <c r="T30" s="40">
        <f>K30*EXP(-L30/T$4)*((T$4/300)^M30)</f>
        <v>6.748009569214966E-16</v>
      </c>
      <c r="U30" s="15">
        <f>L30*Rfac</f>
        <v>2.5038720000000003</v>
      </c>
      <c r="V30" s="116"/>
      <c r="W30" s="116"/>
      <c r="X30" s="117"/>
      <c r="Y30" s="117"/>
      <c r="CU30" s="1" t="s">
        <v>1876</v>
      </c>
      <c r="CX30" s="2">
        <f t="shared" si="1"/>
        <v>0</v>
      </c>
    </row>
    <row r="31" spans="2:102" ht="15">
      <c r="B31" s="49">
        <v>16</v>
      </c>
      <c r="C31" s="14" t="s">
        <v>1877</v>
      </c>
      <c r="D31" s="98" t="str">
        <f>IF(H31="P",CONCATENATE("Phot Set= ",I31,IF(J31=0,"",CONCATENATE(", qy= ",TEXT(J31,"0.0e+0")))),H31)</f>
        <v>Phot Set= NO3NO-06</v>
      </c>
      <c r="E31" s="98"/>
      <c r="F31" s="98"/>
      <c r="G31" s="99"/>
      <c r="H31" s="39" t="s">
        <v>1856</v>
      </c>
      <c r="I31" s="49" t="s">
        <v>1878</v>
      </c>
      <c r="K31" s="116" t="s">
        <v>1861</v>
      </c>
      <c r="L31" s="120"/>
      <c r="M31" s="117"/>
      <c r="N31" s="116"/>
      <c r="O31" s="120"/>
      <c r="P31" s="118"/>
      <c r="Q31" s="117"/>
      <c r="S31" s="40">
        <f t="shared" si="0"/>
      </c>
      <c r="T31" s="116"/>
      <c r="U31" s="117"/>
      <c r="V31" s="116"/>
      <c r="W31" s="116"/>
      <c r="X31" s="117"/>
      <c r="Y31" s="117"/>
      <c r="CU31" s="1" t="s">
        <v>1877</v>
      </c>
      <c r="CX31" s="2">
        <f t="shared" si="1"/>
        <v>0</v>
      </c>
    </row>
    <row r="32" spans="2:102" ht="15">
      <c r="B32" s="49">
        <v>17</v>
      </c>
      <c r="C32" s="14" t="s">
        <v>1879</v>
      </c>
      <c r="D32" s="98" t="str">
        <f>IF(H32="P",CONCATENATE("Phot Set= ",I32,IF(J32=0,"",CONCATENATE(", qy= ",TEXT(J32,"0.0e+0")))),H32)</f>
        <v>Phot Set= NO3NO2-6</v>
      </c>
      <c r="E32" s="98"/>
      <c r="F32" s="98"/>
      <c r="G32" s="99"/>
      <c r="H32" s="39" t="s">
        <v>1856</v>
      </c>
      <c r="I32" s="49" t="s">
        <v>1880</v>
      </c>
      <c r="K32" s="116" t="s">
        <v>1861</v>
      </c>
      <c r="L32" s="120"/>
      <c r="M32" s="117"/>
      <c r="N32" s="116"/>
      <c r="O32" s="120"/>
      <c r="P32" s="118"/>
      <c r="Q32" s="117"/>
      <c r="S32" s="40">
        <f t="shared" si="0"/>
      </c>
      <c r="T32" s="116"/>
      <c r="U32" s="117"/>
      <c r="V32" s="116"/>
      <c r="W32" s="116"/>
      <c r="X32" s="117"/>
      <c r="Y32" s="117"/>
      <c r="CU32" s="1" t="s">
        <v>1879</v>
      </c>
      <c r="CX32" s="2">
        <f t="shared" si="1"/>
        <v>0</v>
      </c>
    </row>
    <row r="33" spans="2:102" ht="15">
      <c r="B33" s="49">
        <v>18</v>
      </c>
      <c r="C33" s="14" t="s">
        <v>1881</v>
      </c>
      <c r="D33" s="98" t="str">
        <f>IF(H33="P",CONCATENATE("Phot Set= ",I33,IF(J33=0,"",CONCATENATE(", qy= ",TEXT(J33,"0.0e+0")))),H33)</f>
        <v>Phot Set= O3O1D-06</v>
      </c>
      <c r="E33" s="98"/>
      <c r="F33" s="98"/>
      <c r="G33" s="99"/>
      <c r="H33" s="39" t="s">
        <v>1856</v>
      </c>
      <c r="I33" s="49" t="s">
        <v>1882</v>
      </c>
      <c r="K33" s="116" t="s">
        <v>1861</v>
      </c>
      <c r="L33" s="120"/>
      <c r="M33" s="117"/>
      <c r="N33" s="116"/>
      <c r="O33" s="120"/>
      <c r="P33" s="118"/>
      <c r="Q33" s="117"/>
      <c r="S33" s="40">
        <f t="shared" si="0"/>
      </c>
      <c r="T33" s="116"/>
      <c r="U33" s="117"/>
      <c r="V33" s="116"/>
      <c r="W33" s="116"/>
      <c r="X33" s="117"/>
      <c r="Y33" s="117"/>
      <c r="CU33" s="1" t="s">
        <v>1881</v>
      </c>
      <c r="CX33" s="2">
        <f t="shared" si="1"/>
        <v>0</v>
      </c>
    </row>
    <row r="34" spans="2:102" ht="15">
      <c r="B34" s="49">
        <v>19</v>
      </c>
      <c r="C34" s="14" t="s">
        <v>1883</v>
      </c>
      <c r="D34" s="98" t="str">
        <f>IF(H34="P",CONCATENATE("Phot Set= ",I34,IF(J34=0,"",CONCATENATE(", qy= ",TEXT(J34,"0.0e+0")))),H34)</f>
        <v>Phot Set= O3O3P-06</v>
      </c>
      <c r="E34" s="98"/>
      <c r="F34" s="98"/>
      <c r="G34" s="99"/>
      <c r="H34" s="39" t="s">
        <v>1856</v>
      </c>
      <c r="I34" s="49" t="s">
        <v>1884</v>
      </c>
      <c r="K34" s="116" t="s">
        <v>1861</v>
      </c>
      <c r="L34" s="120"/>
      <c r="M34" s="117"/>
      <c r="N34" s="116"/>
      <c r="O34" s="120"/>
      <c r="P34" s="118"/>
      <c r="Q34" s="117"/>
      <c r="S34" s="40">
        <f t="shared" si="0"/>
      </c>
      <c r="T34" s="116"/>
      <c r="U34" s="117"/>
      <c r="V34" s="116"/>
      <c r="W34" s="116"/>
      <c r="X34" s="117"/>
      <c r="Y34" s="117"/>
      <c r="CU34" s="1" t="s">
        <v>1883</v>
      </c>
      <c r="CX34" s="2">
        <f t="shared" si="1"/>
        <v>0</v>
      </c>
    </row>
    <row r="35" spans="2:102" ht="15">
      <c r="B35" s="49">
        <v>20</v>
      </c>
      <c r="C35" s="14" t="s">
        <v>1885</v>
      </c>
      <c r="D35" s="95">
        <f>IF(OR(H35="T",H35="C"),S35,H35)</f>
        <v>1.990886495801077E-10</v>
      </c>
      <c r="E35" s="95">
        <f>IF(H35="C","",K35)</f>
        <v>1.63E-10</v>
      </c>
      <c r="F35" s="96">
        <f>IF(H35="C","",U35)</f>
        <v>-0.119232</v>
      </c>
      <c r="G35" s="96">
        <f>IF(M35=0,"",M35)</f>
      </c>
      <c r="H35" s="39" t="s">
        <v>1859</v>
      </c>
      <c r="K35" s="116">
        <v>1.63E-10</v>
      </c>
      <c r="L35" s="120">
        <v>-60</v>
      </c>
      <c r="M35" s="117"/>
      <c r="N35" s="116"/>
      <c r="O35" s="120"/>
      <c r="P35" s="118"/>
      <c r="Q35" s="117"/>
      <c r="S35" s="40">
        <f t="shared" si="0"/>
        <v>1.990886495801077E-10</v>
      </c>
      <c r="T35" s="40">
        <f>K35*EXP(-L35/T$4)*((T$4/300)^M35)</f>
        <v>1.990886495801077E-10</v>
      </c>
      <c r="U35" s="15">
        <f>L35*Rfac</f>
        <v>-0.119232</v>
      </c>
      <c r="V35" s="116"/>
      <c r="W35" s="116"/>
      <c r="X35" s="117"/>
      <c r="Y35" s="117"/>
      <c r="CU35" s="1" t="s">
        <v>1885</v>
      </c>
      <c r="CX35" s="2">
        <f t="shared" si="1"/>
        <v>0</v>
      </c>
    </row>
    <row r="36" spans="2:102" ht="15">
      <c r="B36" s="49">
        <v>21</v>
      </c>
      <c r="C36" s="14" t="s">
        <v>1886</v>
      </c>
      <c r="D36" s="95">
        <f>IF(OR(H36="T",H36="C"),S36,H36)</f>
        <v>3.282701286268195E-11</v>
      </c>
      <c r="E36" s="95">
        <f>K36</f>
        <v>2.380403112789269E-11</v>
      </c>
      <c r="F36" s="96">
        <f>IF(H36="C","",U36)</f>
        <v>-0.19160391502311844</v>
      </c>
      <c r="G36" s="96">
        <f>IF(M36=0,"",M36)</f>
      </c>
      <c r="H36" s="39" t="s">
        <v>1859</v>
      </c>
      <c r="K36" s="116">
        <v>2.380403112789269E-11</v>
      </c>
      <c r="L36" s="120">
        <v>-96.41903936348552</v>
      </c>
      <c r="M36" s="117">
        <v>0</v>
      </c>
      <c r="N36" s="116"/>
      <c r="O36" s="120"/>
      <c r="P36" s="118"/>
      <c r="Q36" s="117"/>
      <c r="S36" s="40">
        <f t="shared" si="0"/>
        <v>3.282701286268195E-11</v>
      </c>
      <c r="T36" s="40">
        <f>K36*EXP(-L36/T$4)*((T$4/300)^M36)</f>
        <v>3.282701286268195E-11</v>
      </c>
      <c r="U36" s="15">
        <f>L36*Rfac</f>
        <v>-0.19160391502311844</v>
      </c>
      <c r="V36" s="116"/>
      <c r="W36" s="116"/>
      <c r="X36" s="117"/>
      <c r="Y36" s="117"/>
      <c r="CU36" s="1" t="s">
        <v>1886</v>
      </c>
      <c r="CX36" s="2">
        <f t="shared" si="1"/>
        <v>0</v>
      </c>
    </row>
    <row r="37" spans="2:102" ht="15">
      <c r="B37" s="49">
        <v>22</v>
      </c>
      <c r="C37" s="14" t="s">
        <v>0</v>
      </c>
      <c r="D37" s="95">
        <f>S37</f>
        <v>7.306554222687003E-12</v>
      </c>
      <c r="E37" s="103" t="str">
        <f>IF(H37="F","Falloff, F="&amp;TEXT(Q37,"0.00")&amp;", N="&amp;TEXT(R37,"0.00"),H37)</f>
        <v>Falloff, F=0.60, N=1.00</v>
      </c>
      <c r="F37" s="103"/>
      <c r="G37" s="99"/>
      <c r="H37" s="39" t="s">
        <v>1843</v>
      </c>
      <c r="K37" s="116">
        <v>3.6E-11</v>
      </c>
      <c r="L37" s="120">
        <v>0</v>
      </c>
      <c r="M37" s="117">
        <v>-0.1</v>
      </c>
      <c r="N37" s="116">
        <v>7E-31</v>
      </c>
      <c r="O37" s="120">
        <v>0</v>
      </c>
      <c r="P37" s="118">
        <v>-2.6</v>
      </c>
      <c r="Q37" s="117">
        <v>0.6</v>
      </c>
      <c r="R37" s="41">
        <v>1</v>
      </c>
      <c r="S37" s="40">
        <f t="shared" si="0"/>
        <v>7.306554222687003E-12</v>
      </c>
      <c r="T37" s="40">
        <f>K37*EXP(-L37/T$4)*((T$4/300)^M37)</f>
        <v>3.6E-11</v>
      </c>
      <c r="U37" s="15">
        <f>L37*Rfac</f>
        <v>0</v>
      </c>
      <c r="V37" s="40">
        <f>W37*V$3*7.3395E+21/T$4</f>
        <v>1.7125499999999997E-11</v>
      </c>
      <c r="W37" s="40">
        <f>N37*EXP(-O37/T$4)*(T$4/300)^P37</f>
        <v>7E-31</v>
      </c>
      <c r="X37" s="15">
        <f>O37*Rfac</f>
        <v>0</v>
      </c>
      <c r="Y37" s="15"/>
      <c r="CU37" s="1" t="s">
        <v>0</v>
      </c>
      <c r="CX37" s="2">
        <f t="shared" si="1"/>
        <v>0</v>
      </c>
    </row>
    <row r="38" spans="2:102" ht="15">
      <c r="B38" s="49" t="s">
        <v>1861</v>
      </c>
      <c r="D38" s="137" t="str">
        <f>IF(H37="F","0: ",H37)</f>
        <v>0: </v>
      </c>
      <c r="E38" s="95">
        <f>N37</f>
        <v>7E-31</v>
      </c>
      <c r="F38" s="96">
        <f>X37</f>
        <v>0</v>
      </c>
      <c r="G38" s="96">
        <f>P37</f>
        <v>-2.6</v>
      </c>
      <c r="K38" s="116"/>
      <c r="L38" s="120"/>
      <c r="M38" s="117"/>
      <c r="N38" s="116"/>
      <c r="O38" s="120"/>
      <c r="P38" s="118"/>
      <c r="Q38" s="117"/>
      <c r="S38" s="40">
        <f t="shared" si="0"/>
      </c>
      <c r="CX38" s="2">
        <f t="shared" si="1"/>
        <v>0</v>
      </c>
    </row>
    <row r="39" spans="2:102" ht="15">
      <c r="B39" s="49" t="s">
        <v>1861</v>
      </c>
      <c r="D39" s="137" t="str">
        <f>IF(H37="F","inf: ",H37)</f>
        <v>inf: </v>
      </c>
      <c r="E39" s="95">
        <f>K37</f>
        <v>3.6E-11</v>
      </c>
      <c r="F39" s="96">
        <f>U37</f>
        <v>0</v>
      </c>
      <c r="G39" s="96">
        <f>M37</f>
        <v>-0.1</v>
      </c>
      <c r="K39" s="116"/>
      <c r="L39" s="120"/>
      <c r="M39" s="117"/>
      <c r="N39" s="116"/>
      <c r="O39" s="120"/>
      <c r="P39" s="118"/>
      <c r="Q39" s="117"/>
      <c r="S39" s="40">
        <f t="shared" si="0"/>
      </c>
      <c r="CX39" s="2">
        <f t="shared" si="1"/>
        <v>0</v>
      </c>
    </row>
    <row r="40" spans="2:102" ht="15">
      <c r="B40" s="49">
        <v>23</v>
      </c>
      <c r="C40" s="14" t="s">
        <v>1</v>
      </c>
      <c r="D40" s="98" t="str">
        <f>IF(H40="P",CONCATENATE("Phot Set= ",I40,IF(J40=0,"",CONCATENATE(", qy= ",TEXT(J40,"0.0e+0")))),H40)</f>
        <v>Phot Set= HONO-06</v>
      </c>
      <c r="E40" s="98"/>
      <c r="F40" s="98"/>
      <c r="G40" s="99"/>
      <c r="H40" s="39" t="s">
        <v>1856</v>
      </c>
      <c r="I40" s="49" t="s">
        <v>2</v>
      </c>
      <c r="K40" s="116" t="s">
        <v>1861</v>
      </c>
      <c r="L40" s="120">
        <v>0</v>
      </c>
      <c r="M40" s="117"/>
      <c r="N40" s="116"/>
      <c r="O40" s="120"/>
      <c r="P40" s="118"/>
      <c r="Q40" s="117"/>
      <c r="S40" s="40">
        <f t="shared" si="0"/>
      </c>
      <c r="T40" s="116"/>
      <c r="U40" s="117"/>
      <c r="V40" s="116"/>
      <c r="W40" s="116"/>
      <c r="X40" s="117"/>
      <c r="Y40" s="117"/>
      <c r="CU40" s="1" t="s">
        <v>1</v>
      </c>
      <c r="CX40" s="2">
        <f t="shared" si="1"/>
        <v>0</v>
      </c>
    </row>
    <row r="41" spans="2:102" ht="15">
      <c r="B41" s="49">
        <v>24</v>
      </c>
      <c r="C41" s="14" t="s">
        <v>3</v>
      </c>
      <c r="D41" s="95">
        <f>IF(OR(H41="T",H41="C"),S41,H41)</f>
        <v>5.947419324766586E-12</v>
      </c>
      <c r="E41" s="95">
        <f>K41</f>
        <v>2.5E-12</v>
      </c>
      <c r="F41" s="96">
        <f>IF(H41="C","",U41)</f>
        <v>-0.516672</v>
      </c>
      <c r="G41" s="96">
        <f>IF(M41=0,"",M41)</f>
      </c>
      <c r="H41" s="39" t="s">
        <v>1859</v>
      </c>
      <c r="K41" s="116">
        <v>2.5E-12</v>
      </c>
      <c r="L41" s="120">
        <v>-260</v>
      </c>
      <c r="M41" s="117">
        <v>0</v>
      </c>
      <c r="N41" s="116"/>
      <c r="O41" s="120"/>
      <c r="P41" s="118"/>
      <c r="Q41" s="117"/>
      <c r="S41" s="40">
        <f t="shared" si="0"/>
        <v>5.947419324766586E-12</v>
      </c>
      <c r="T41" s="40">
        <f>K41*EXP(-L41/T$4)*((T$4/300)^M41)</f>
        <v>5.947419324766586E-12</v>
      </c>
      <c r="U41" s="15">
        <f>L41*Rfac</f>
        <v>-0.516672</v>
      </c>
      <c r="V41" s="116"/>
      <c r="W41" s="116"/>
      <c r="X41" s="117"/>
      <c r="Y41" s="117"/>
      <c r="CU41" s="1" t="s">
        <v>3</v>
      </c>
      <c r="CX41" s="2">
        <f t="shared" si="1"/>
        <v>0</v>
      </c>
    </row>
    <row r="42" spans="2:102" ht="15">
      <c r="B42" s="49">
        <v>25</v>
      </c>
      <c r="C42" s="14" t="s">
        <v>4</v>
      </c>
      <c r="D42" s="95">
        <f>S42</f>
        <v>1.04672336966118E-11</v>
      </c>
      <c r="E42" s="103" t="str">
        <f>IF(H42="F","Falloff, F="&amp;TEXT(Q42,"0.00")&amp;", N="&amp;TEXT(R42,"0.00"),H42)</f>
        <v>Falloff, F=0.60, N=1.00</v>
      </c>
      <c r="F42" s="103"/>
      <c r="G42" s="99"/>
      <c r="H42" s="39" t="s">
        <v>1843</v>
      </c>
      <c r="K42" s="116">
        <v>2.8E-11</v>
      </c>
      <c r="L42" s="120">
        <v>0</v>
      </c>
      <c r="M42" s="117">
        <v>0</v>
      </c>
      <c r="N42" s="116">
        <v>1.8E-30</v>
      </c>
      <c r="O42" s="120">
        <v>0</v>
      </c>
      <c r="P42" s="118">
        <v>-3</v>
      </c>
      <c r="Q42" s="117">
        <v>0.6</v>
      </c>
      <c r="R42" s="41">
        <v>1</v>
      </c>
      <c r="S42" s="40">
        <f t="shared" si="0"/>
        <v>1.04672336966118E-11</v>
      </c>
      <c r="T42" s="40">
        <f>K42*EXP(-L42/T$4)*((T$4/300)^M42)</f>
        <v>2.8E-11</v>
      </c>
      <c r="U42" s="15">
        <f>L42*Rfac</f>
        <v>0</v>
      </c>
      <c r="V42" s="40">
        <f>W42*V$3*7.3395E+21/T$4</f>
        <v>4.4037000000000004E-11</v>
      </c>
      <c r="W42" s="40">
        <f>N42*EXP(-O42/T$4)*(T$4/300)^P42</f>
        <v>1.8E-30</v>
      </c>
      <c r="X42" s="15">
        <f>O42*Rfac</f>
        <v>0</v>
      </c>
      <c r="Y42" s="15"/>
      <c r="CU42" s="1" t="s">
        <v>4</v>
      </c>
      <c r="CX42" s="2">
        <f t="shared" si="1"/>
        <v>0</v>
      </c>
    </row>
    <row r="43" spans="2:102" ht="15">
      <c r="B43" s="49" t="s">
        <v>1861</v>
      </c>
      <c r="D43" s="137" t="str">
        <f>IF(H42="F","0: ",H42)</f>
        <v>0: </v>
      </c>
      <c r="E43" s="95">
        <f>N42</f>
        <v>1.8E-30</v>
      </c>
      <c r="F43" s="96">
        <f>X42</f>
        <v>0</v>
      </c>
      <c r="G43" s="96">
        <f>P42</f>
        <v>-3</v>
      </c>
      <c r="K43" s="116"/>
      <c r="L43" s="120"/>
      <c r="M43" s="117"/>
      <c r="N43" s="116"/>
      <c r="O43" s="120"/>
      <c r="P43" s="118"/>
      <c r="Q43" s="117"/>
      <c r="S43" s="40">
        <f t="shared" si="0"/>
      </c>
      <c r="CX43" s="2">
        <f t="shared" si="1"/>
        <v>0</v>
      </c>
    </row>
    <row r="44" spans="2:102" ht="15">
      <c r="B44" s="49" t="s">
        <v>1861</v>
      </c>
      <c r="D44" s="137" t="str">
        <f>IF(H42="F","inf: ",H42)</f>
        <v>inf: </v>
      </c>
      <c r="E44" s="95">
        <f>K42</f>
        <v>2.8E-11</v>
      </c>
      <c r="F44" s="96">
        <f>U42</f>
        <v>0</v>
      </c>
      <c r="G44" s="96">
        <f>M42</f>
        <v>0</v>
      </c>
      <c r="K44" s="116"/>
      <c r="L44" s="120"/>
      <c r="M44" s="117"/>
      <c r="N44" s="116"/>
      <c r="O44" s="120"/>
      <c r="P44" s="118"/>
      <c r="Q44" s="117"/>
      <c r="S44" s="40">
        <f t="shared" si="0"/>
      </c>
      <c r="CX44" s="2">
        <f t="shared" si="1"/>
        <v>0</v>
      </c>
    </row>
    <row r="45" spans="2:102" ht="15">
      <c r="B45" s="49">
        <v>26</v>
      </c>
      <c r="C45" s="14" t="s">
        <v>5</v>
      </c>
      <c r="D45" s="95">
        <f>IF(OR(H45="T",H45="C"),S45,H45)</f>
        <v>2E-11</v>
      </c>
      <c r="E45" s="95"/>
      <c r="F45" s="96">
        <f>IF(H45="C","",U45)</f>
      </c>
      <c r="G45" s="96">
        <f>IF(M45=0,"",M45)</f>
      </c>
      <c r="H45" s="39" t="s">
        <v>1851</v>
      </c>
      <c r="K45" s="116">
        <v>2E-11</v>
      </c>
      <c r="L45" s="120"/>
      <c r="M45" s="117"/>
      <c r="N45" s="116"/>
      <c r="O45" s="120"/>
      <c r="P45" s="118"/>
      <c r="Q45" s="117"/>
      <c r="S45" s="40">
        <f t="shared" si="0"/>
        <v>2E-11</v>
      </c>
      <c r="T45" s="40">
        <f>K45*EXP(-L45/T$4)*((T$4/300)^M45)</f>
        <v>2E-11</v>
      </c>
      <c r="U45" s="117"/>
      <c r="V45" s="116"/>
      <c r="W45" s="116"/>
      <c r="X45" s="117"/>
      <c r="Y45" s="117"/>
      <c r="CU45" s="1" t="s">
        <v>5</v>
      </c>
      <c r="CX45" s="2">
        <f t="shared" si="1"/>
        <v>0</v>
      </c>
    </row>
    <row r="46" spans="2:102" ht="15">
      <c r="B46" s="49">
        <v>27</v>
      </c>
      <c r="C46" s="14" t="s">
        <v>6</v>
      </c>
      <c r="D46" s="95">
        <f>S46</f>
        <v>1.5118248793139664E-13</v>
      </c>
      <c r="E46" s="103" t="str">
        <f>IF(H46="S2","k = k0+k3M/(1+k3M/k2)",H46)</f>
        <v>k = k0+k3M/(1+k3M/k2)</v>
      </c>
      <c r="F46" s="103"/>
      <c r="G46" s="99"/>
      <c r="H46" s="39" t="s">
        <v>7</v>
      </c>
      <c r="K46" s="116">
        <v>2.4E-14</v>
      </c>
      <c r="L46" s="120">
        <v>-460</v>
      </c>
      <c r="M46" s="117">
        <v>0</v>
      </c>
      <c r="N46" s="116">
        <v>6.5E-34</v>
      </c>
      <c r="O46" s="120">
        <v>-1335</v>
      </c>
      <c r="P46" s="118">
        <v>0</v>
      </c>
      <c r="Q46" s="117"/>
      <c r="S46" s="40">
        <f t="shared" si="0"/>
        <v>1.5118248793139664E-13</v>
      </c>
      <c r="T46" s="40">
        <f>K46*EXP(-L46/T$4)*((T$4/300)^M46)</f>
        <v>1.1120631432263324E-13</v>
      </c>
      <c r="U46" s="15">
        <f>L46*Rfac</f>
        <v>-0.914112</v>
      </c>
      <c r="V46" s="40">
        <f>W46*V$3*7.3395E+21/T$4</f>
        <v>1.3616610702589944E-12</v>
      </c>
      <c r="W46" s="40">
        <f>N46*EXP(-O46/T$4)*(T$4/300)^P46</f>
        <v>5.565751360143038E-32</v>
      </c>
      <c r="X46" s="15">
        <f>O46*Rfac</f>
        <v>-2.652912</v>
      </c>
      <c r="Y46" s="15"/>
      <c r="CU46" s="1" t="s">
        <v>6</v>
      </c>
      <c r="CX46" s="2">
        <f t="shared" si="1"/>
        <v>0</v>
      </c>
    </row>
    <row r="47" spans="2:102" ht="15">
      <c r="B47" s="49" t="s">
        <v>1861</v>
      </c>
      <c r="D47" s="137" t="str">
        <f>IF(H46="S2","k0: ",H46)</f>
        <v>k0: </v>
      </c>
      <c r="E47" s="95">
        <f>K46</f>
        <v>2.4E-14</v>
      </c>
      <c r="F47" s="96">
        <f>U46</f>
        <v>-0.914112</v>
      </c>
      <c r="G47" s="96">
        <f>M46</f>
        <v>0</v>
      </c>
      <c r="K47" s="116">
        <v>2.7E-17</v>
      </c>
      <c r="L47" s="120">
        <v>-2199</v>
      </c>
      <c r="M47" s="117">
        <v>0</v>
      </c>
      <c r="N47" s="116"/>
      <c r="O47" s="117"/>
      <c r="P47" s="118"/>
      <c r="Q47" s="117"/>
      <c r="S47" s="40">
        <f t="shared" si="0"/>
      </c>
      <c r="T47" s="40">
        <f>K47*EXP(-L47/T$4)*((T$4/300)^M47)</f>
        <v>4.118530784374505E-14</v>
      </c>
      <c r="U47" s="15">
        <f>L47*Rfac</f>
        <v>-4.3698528</v>
      </c>
      <c r="V47" s="116"/>
      <c r="W47" s="116"/>
      <c r="X47" s="117"/>
      <c r="Y47" s="117"/>
      <c r="CX47" s="2">
        <f t="shared" si="1"/>
        <v>0</v>
      </c>
    </row>
    <row r="48" spans="2:102" ht="15">
      <c r="B48" s="49" t="s">
        <v>1861</v>
      </c>
      <c r="D48" s="137" t="str">
        <f>IF(H46="S2","k2: ",H47)</f>
        <v>k2: </v>
      </c>
      <c r="E48" s="95">
        <f>K47</f>
        <v>2.7E-17</v>
      </c>
      <c r="F48" s="96">
        <f>U47</f>
        <v>-4.3698528</v>
      </c>
      <c r="G48" s="96">
        <f>M47</f>
        <v>0</v>
      </c>
      <c r="K48" s="116"/>
      <c r="L48" s="120"/>
      <c r="M48" s="117"/>
      <c r="N48" s="116"/>
      <c r="O48" s="117"/>
      <c r="P48" s="118"/>
      <c r="Q48" s="117"/>
      <c r="S48" s="40">
        <f t="shared" si="0"/>
      </c>
      <c r="V48" s="116"/>
      <c r="W48" s="116"/>
      <c r="X48" s="117"/>
      <c r="Y48" s="117"/>
      <c r="CX48" s="2">
        <f t="shared" si="1"/>
        <v>0</v>
      </c>
    </row>
    <row r="49" spans="2:102" ht="15">
      <c r="B49" s="49" t="s">
        <v>1861</v>
      </c>
      <c r="D49" s="137" t="str">
        <f>IF(H46="S2","k3: ",H46)</f>
        <v>k3: </v>
      </c>
      <c r="E49" s="95">
        <f>N46</f>
        <v>6.5E-34</v>
      </c>
      <c r="F49" s="96">
        <f>X46</f>
        <v>-2.652912</v>
      </c>
      <c r="G49" s="96">
        <f>P46</f>
        <v>0</v>
      </c>
      <c r="K49" s="116"/>
      <c r="L49" s="120"/>
      <c r="M49" s="117"/>
      <c r="N49" s="116"/>
      <c r="O49" s="117"/>
      <c r="P49" s="118"/>
      <c r="Q49" s="117"/>
      <c r="S49" s="40">
        <f t="shared" si="0"/>
      </c>
      <c r="V49" s="116"/>
      <c r="W49" s="116"/>
      <c r="X49" s="117"/>
      <c r="Y49" s="117"/>
      <c r="CX49" s="2">
        <f t="shared" si="1"/>
        <v>0</v>
      </c>
    </row>
    <row r="50" spans="2:102" ht="15">
      <c r="B50" s="49">
        <v>28</v>
      </c>
      <c r="C50" s="14" t="s">
        <v>8</v>
      </c>
      <c r="D50" s="98" t="str">
        <f>IF(H50="P",CONCATENATE("Phot Set= ",I50,IF(J50=0,"",CONCATENATE(", qy= ",TEXT(J50,"0.0e+0")))),H50)</f>
        <v>Phot Set= HNO3</v>
      </c>
      <c r="E50" s="98"/>
      <c r="F50" s="98"/>
      <c r="G50" s="99"/>
      <c r="H50" s="39" t="s">
        <v>1856</v>
      </c>
      <c r="I50" s="49" t="s">
        <v>1429</v>
      </c>
      <c r="K50" s="116"/>
      <c r="L50" s="120"/>
      <c r="M50" s="117"/>
      <c r="N50" s="116"/>
      <c r="O50" s="117"/>
      <c r="P50" s="118"/>
      <c r="Q50" s="117"/>
      <c r="S50" s="40">
        <f t="shared" si="0"/>
      </c>
      <c r="T50" s="116"/>
      <c r="U50" s="117"/>
      <c r="V50" s="116"/>
      <c r="W50" s="116"/>
      <c r="X50" s="117"/>
      <c r="Y50" s="117"/>
      <c r="CU50" s="1" t="s">
        <v>8</v>
      </c>
      <c r="CX50" s="2">
        <f t="shared" si="1"/>
        <v>0</v>
      </c>
    </row>
    <row r="51" spans="2:102" ht="15">
      <c r="B51" s="49">
        <v>29</v>
      </c>
      <c r="C51" s="14" t="s">
        <v>9</v>
      </c>
      <c r="D51" s="95">
        <f>S51</f>
        <v>2.2788E-13</v>
      </c>
      <c r="E51" s="103" t="str">
        <f>IF(H51="S1","k = k1 + k2 [M]",H51)</f>
        <v>k = k1 + k2 [M]</v>
      </c>
      <c r="F51" s="103"/>
      <c r="G51" s="99"/>
      <c r="H51" s="39" t="s">
        <v>10</v>
      </c>
      <c r="K51" s="116">
        <v>1.44E-13</v>
      </c>
      <c r="L51" s="120"/>
      <c r="M51" s="117"/>
      <c r="N51" s="119">
        <f>0.000000000000144/42000000000000000000</f>
        <v>3.428571428571428E-33</v>
      </c>
      <c r="O51" s="117"/>
      <c r="P51" s="118"/>
      <c r="Q51" s="117"/>
      <c r="S51" s="40">
        <f t="shared" si="0"/>
        <v>2.2788E-13</v>
      </c>
      <c r="T51" s="40">
        <f>K51*EXP(-L51/T$4)*((T$4/300)^M51)</f>
        <v>1.44E-13</v>
      </c>
      <c r="U51" s="117"/>
      <c r="V51" s="40">
        <f>W51*V$3*7.3395E+21/T$4</f>
        <v>8.387999999999999E-14</v>
      </c>
      <c r="W51" s="40">
        <f>N51*EXP(-O51/T$4)*(T$4/300)^P51</f>
        <v>3.428571428571428E-33</v>
      </c>
      <c r="X51" s="117"/>
      <c r="Y51" s="117"/>
      <c r="CU51" s="1" t="s">
        <v>9</v>
      </c>
      <c r="CX51" s="2">
        <f t="shared" si="1"/>
        <v>0</v>
      </c>
    </row>
    <row r="52" spans="2:102" ht="15">
      <c r="B52" s="49" t="s">
        <v>1861</v>
      </c>
      <c r="D52" s="137" t="str">
        <f>IF(H51="S1","k1: ",H51)</f>
        <v>k1: </v>
      </c>
      <c r="E52" s="95">
        <f>K51</f>
        <v>1.44E-13</v>
      </c>
      <c r="F52" s="96">
        <f>U51</f>
        <v>0</v>
      </c>
      <c r="G52" s="96">
        <f>M51</f>
        <v>0</v>
      </c>
      <c r="K52" s="116"/>
      <c r="L52" s="120"/>
      <c r="M52" s="117"/>
      <c r="N52" s="116"/>
      <c r="O52" s="117"/>
      <c r="P52" s="118"/>
      <c r="Q52" s="117"/>
      <c r="S52" s="40">
        <f t="shared" si="0"/>
      </c>
      <c r="U52" s="117"/>
      <c r="V52" s="116"/>
      <c r="W52" s="116"/>
      <c r="X52" s="117"/>
      <c r="Y52" s="117"/>
      <c r="CX52" s="2">
        <f t="shared" si="1"/>
        <v>0</v>
      </c>
    </row>
    <row r="53" spans="2:102" ht="15">
      <c r="B53" s="49" t="s">
        <v>1861</v>
      </c>
      <c r="D53" s="137" t="str">
        <f>IF(H51="S1","k2: ",H51)</f>
        <v>k2: </v>
      </c>
      <c r="E53" s="95">
        <f>N51</f>
        <v>3.428571428571428E-33</v>
      </c>
      <c r="F53" s="96">
        <f>X51</f>
        <v>0</v>
      </c>
      <c r="G53" s="96">
        <f>P51</f>
        <v>0</v>
      </c>
      <c r="K53" s="116"/>
      <c r="L53" s="120"/>
      <c r="M53" s="117"/>
      <c r="N53" s="116"/>
      <c r="O53" s="117"/>
      <c r="P53" s="118"/>
      <c r="Q53" s="117"/>
      <c r="S53" s="40">
        <f t="shared" si="0"/>
      </c>
      <c r="U53" s="117"/>
      <c r="V53" s="116"/>
      <c r="W53" s="116"/>
      <c r="X53" s="117"/>
      <c r="Y53" s="117"/>
      <c r="CX53" s="2">
        <f t="shared" si="1"/>
        <v>0</v>
      </c>
    </row>
    <row r="54" spans="2:102" ht="15">
      <c r="B54" s="49">
        <v>30</v>
      </c>
      <c r="C54" s="14" t="s">
        <v>11</v>
      </c>
      <c r="D54" s="95">
        <f>IF(OR(H54="T",H54="C"),S54,H54)</f>
        <v>7.407293357716678E-14</v>
      </c>
      <c r="E54" s="95">
        <f>IF(H54="C","",K54)</f>
        <v>1.7E-12</v>
      </c>
      <c r="F54" s="96">
        <f>IF(H54="C","",U54)</f>
        <v>1.867968</v>
      </c>
      <c r="G54" s="96">
        <f>IF(M54=0,"",M54)</f>
      </c>
      <c r="H54" s="39" t="s">
        <v>1859</v>
      </c>
      <c r="K54" s="116">
        <v>1.7E-12</v>
      </c>
      <c r="L54" s="120">
        <v>940</v>
      </c>
      <c r="M54" s="117">
        <v>0</v>
      </c>
      <c r="N54" s="116"/>
      <c r="O54" s="117"/>
      <c r="P54" s="118"/>
      <c r="Q54" s="117"/>
      <c r="S54" s="40">
        <f t="shared" si="0"/>
        <v>7.407293357716678E-14</v>
      </c>
      <c r="T54" s="40">
        <f>K54*EXP(-L54/T$4)*((T$4/300)^M54)</f>
        <v>7.407293357716678E-14</v>
      </c>
      <c r="U54" s="15">
        <f>L54*Rfac</f>
        <v>1.867968</v>
      </c>
      <c r="V54" s="116"/>
      <c r="W54" s="116"/>
      <c r="X54" s="117"/>
      <c r="Y54" s="117"/>
      <c r="CU54" s="1" t="s">
        <v>11</v>
      </c>
      <c r="CX54" s="2">
        <f t="shared" si="1"/>
        <v>0</v>
      </c>
    </row>
    <row r="55" spans="2:102" ht="15">
      <c r="B55" s="49">
        <v>31</v>
      </c>
      <c r="C55" s="14" t="s">
        <v>12</v>
      </c>
      <c r="D55" s="95">
        <f>IF(OR(H55="T",H55="C"),S55,H55)</f>
        <v>8.854571200165019E-12</v>
      </c>
      <c r="E55" s="95">
        <f>IF(H55="C","",K55)</f>
        <v>3.6E-12</v>
      </c>
      <c r="F55" s="96">
        <f>IF(H55="C","",U55)</f>
        <v>-0.536544</v>
      </c>
      <c r="G55" s="96">
        <f>IF(M55=0,"",M55)</f>
      </c>
      <c r="H55" s="39" t="s">
        <v>1859</v>
      </c>
      <c r="K55" s="116">
        <v>3.6E-12</v>
      </c>
      <c r="L55" s="120">
        <v>-270</v>
      </c>
      <c r="M55" s="117">
        <v>0</v>
      </c>
      <c r="N55" s="116"/>
      <c r="O55" s="117"/>
      <c r="P55" s="118"/>
      <c r="Q55" s="117"/>
      <c r="S55" s="40">
        <f t="shared" si="0"/>
        <v>8.854571200165019E-12</v>
      </c>
      <c r="T55" s="40">
        <f>K55*EXP(-L55/T$4)*((T$4/300)^M55)</f>
        <v>8.854571200165019E-12</v>
      </c>
      <c r="U55" s="15">
        <f>L55*Rfac</f>
        <v>-0.536544</v>
      </c>
      <c r="V55" s="116"/>
      <c r="W55" s="116"/>
      <c r="X55" s="117"/>
      <c r="Y55" s="117"/>
      <c r="CU55" s="1" t="s">
        <v>12</v>
      </c>
      <c r="CX55" s="2">
        <f t="shared" si="1"/>
        <v>0</v>
      </c>
    </row>
    <row r="56" spans="2:102" ht="15">
      <c r="B56" s="49">
        <v>32</v>
      </c>
      <c r="C56" s="14" t="s">
        <v>13</v>
      </c>
      <c r="D56" s="95">
        <f>S56</f>
        <v>1.1202304796425256E-12</v>
      </c>
      <c r="E56" s="103" t="str">
        <f>IF(H56="F","Falloff, F="&amp;TEXT(Q56,"0.00")&amp;", N="&amp;TEXT(R56,"0.00"),H56)</f>
        <v>Falloff, F=0.60, N=1.00</v>
      </c>
      <c r="F56" s="103"/>
      <c r="G56" s="99"/>
      <c r="H56" s="39" t="s">
        <v>1843</v>
      </c>
      <c r="K56" s="116">
        <v>2.9E-12</v>
      </c>
      <c r="L56" s="120">
        <v>0</v>
      </c>
      <c r="M56" s="117">
        <v>-1.1</v>
      </c>
      <c r="N56" s="116">
        <v>2E-31</v>
      </c>
      <c r="O56" s="120">
        <v>0</v>
      </c>
      <c r="P56" s="118">
        <v>-3.4</v>
      </c>
      <c r="Q56" s="117">
        <v>0.6</v>
      </c>
      <c r="R56" s="41">
        <v>1</v>
      </c>
      <c r="S56" s="40">
        <f t="shared" si="0"/>
        <v>1.1202304796425256E-12</v>
      </c>
      <c r="T56" s="40">
        <f>K56*EXP(-L56/T$4)*((T$4/300)^M56)</f>
        <v>2.9E-12</v>
      </c>
      <c r="U56" s="15">
        <f>L56*Rfac</f>
        <v>0</v>
      </c>
      <c r="V56" s="40">
        <f>W56*V$3*7.3395E+21/T$4</f>
        <v>4.893E-12</v>
      </c>
      <c r="W56" s="40">
        <f>N56*EXP(-O56/T$4)*(T$4/300)^P56</f>
        <v>2E-31</v>
      </c>
      <c r="X56" s="15">
        <f>O56*Rfac</f>
        <v>0</v>
      </c>
      <c r="Y56" s="15"/>
      <c r="CU56" s="1" t="s">
        <v>13</v>
      </c>
      <c r="CX56" s="2">
        <f t="shared" si="1"/>
        <v>0</v>
      </c>
    </row>
    <row r="57" spans="2:102" ht="15">
      <c r="B57" s="49" t="s">
        <v>1861</v>
      </c>
      <c r="D57" s="137" t="str">
        <f>IF(H56="F","0: ",H56)</f>
        <v>0: </v>
      </c>
      <c r="E57" s="95">
        <f>N56</f>
        <v>2E-31</v>
      </c>
      <c r="F57" s="96">
        <f>X56</f>
        <v>0</v>
      </c>
      <c r="G57" s="96">
        <f>P56</f>
        <v>-3.4</v>
      </c>
      <c r="K57" s="116"/>
      <c r="L57" s="120"/>
      <c r="M57" s="117"/>
      <c r="N57" s="116"/>
      <c r="O57" s="120"/>
      <c r="P57" s="118"/>
      <c r="Q57" s="117"/>
      <c r="S57" s="40">
        <f t="shared" si="0"/>
      </c>
      <c r="CX57" s="2">
        <f t="shared" si="1"/>
        <v>0</v>
      </c>
    </row>
    <row r="58" spans="2:102" ht="15">
      <c r="B58" s="49" t="s">
        <v>1861</v>
      </c>
      <c r="D58" s="137" t="str">
        <f>IF(H56="F","inf: ",H56)</f>
        <v>inf: </v>
      </c>
      <c r="E58" s="95">
        <f>K56</f>
        <v>2.9E-12</v>
      </c>
      <c r="F58" s="96">
        <f>U56</f>
        <v>0</v>
      </c>
      <c r="G58" s="96">
        <f>M56</f>
        <v>-1.1</v>
      </c>
      <c r="K58" s="116"/>
      <c r="L58" s="120"/>
      <c r="M58" s="117"/>
      <c r="N58" s="116"/>
      <c r="O58" s="120"/>
      <c r="P58" s="118"/>
      <c r="Q58" s="117"/>
      <c r="S58" s="40">
        <f t="shared" si="0"/>
      </c>
      <c r="CX58" s="2">
        <f t="shared" si="1"/>
        <v>0</v>
      </c>
    </row>
    <row r="59" spans="2:102" ht="15">
      <c r="B59" s="49">
        <v>33</v>
      </c>
      <c r="C59" s="14" t="s">
        <v>14</v>
      </c>
      <c r="D59" s="95">
        <f>S59</f>
        <v>0.1071001205390551</v>
      </c>
      <c r="E59" s="103" t="str">
        <f>IF(H59="F","Falloff, F="&amp;TEXT(Q59,"0.00")&amp;", N="&amp;TEXT(R59,"0.00"),H59)</f>
        <v>Falloff, F=0.60, N=1.00</v>
      </c>
      <c r="F59" s="103"/>
      <c r="G59" s="99"/>
      <c r="H59" s="39" t="s">
        <v>1843</v>
      </c>
      <c r="K59" s="116">
        <v>5420000000000000</v>
      </c>
      <c r="L59" s="120">
        <v>11170</v>
      </c>
      <c r="M59" s="117">
        <v>-2.3</v>
      </c>
      <c r="N59" s="116">
        <v>3.72E-05</v>
      </c>
      <c r="O59" s="120">
        <v>10650</v>
      </c>
      <c r="P59" s="118">
        <v>-2.4</v>
      </c>
      <c r="Q59" s="117">
        <v>0.6</v>
      </c>
      <c r="R59" s="41">
        <v>1</v>
      </c>
      <c r="S59" s="40">
        <f t="shared" si="0"/>
        <v>0.1071001205390551</v>
      </c>
      <c r="T59" s="40">
        <f>K59*EXP(-L59/T$4)*((T$4/300)^M59)</f>
        <v>0.3662419410063809</v>
      </c>
      <c r="U59" s="15">
        <f>L59*Rfac</f>
        <v>22.197024000000003</v>
      </c>
      <c r="V59" s="40">
        <f>W59*V$3*7.3395E+21/T$4</f>
        <v>0.3480439207737947</v>
      </c>
      <c r="W59" s="40">
        <f>N59*EXP(-O59/T$4)*(T$4/300)^P59</f>
        <v>1.4226197456521346E-20</v>
      </c>
      <c r="X59" s="15">
        <f>O59*Rfac</f>
        <v>21.163680000000003</v>
      </c>
      <c r="Y59" s="15"/>
      <c r="CU59" s="1" t="s">
        <v>14</v>
      </c>
      <c r="CX59" s="2">
        <f t="shared" si="1"/>
        <v>0</v>
      </c>
    </row>
    <row r="60" spans="2:102" ht="15">
      <c r="B60" s="49" t="s">
        <v>1861</v>
      </c>
      <c r="D60" s="137" t="str">
        <f>IF(H59="F","0: ",H59)</f>
        <v>0: </v>
      </c>
      <c r="E60" s="95">
        <f>N59</f>
        <v>3.72E-05</v>
      </c>
      <c r="F60" s="96">
        <f>X59</f>
        <v>21.163680000000003</v>
      </c>
      <c r="G60" s="96">
        <f>P59</f>
        <v>-2.4</v>
      </c>
      <c r="J60" s="18" t="s">
        <v>15</v>
      </c>
      <c r="K60" s="116">
        <v>2.1E-27</v>
      </c>
      <c r="L60" s="120">
        <v>10900</v>
      </c>
      <c r="M60" s="117"/>
      <c r="N60" s="116"/>
      <c r="O60" s="120"/>
      <c r="P60" s="118"/>
      <c r="Q60" s="117"/>
      <c r="S60" s="40">
        <f t="shared" si="0"/>
      </c>
      <c r="CX60" s="2">
        <f t="shared" si="1"/>
        <v>0</v>
      </c>
    </row>
    <row r="61" spans="2:102" ht="15">
      <c r="B61" s="49" t="s">
        <v>1861</v>
      </c>
      <c r="D61" s="137" t="str">
        <f>IF(H59="F","inf: ",H59)</f>
        <v>inf: </v>
      </c>
      <c r="E61" s="95">
        <f>K59</f>
        <v>5420000000000000</v>
      </c>
      <c r="F61" s="96">
        <f>U59</f>
        <v>22.197024000000003</v>
      </c>
      <c r="G61" s="96">
        <f>M59</f>
        <v>-2.3</v>
      </c>
      <c r="K61" s="119">
        <f>K56/K60</f>
        <v>1380952380952381</v>
      </c>
      <c r="L61" s="120">
        <v>10900</v>
      </c>
      <c r="M61" s="117">
        <v>-1.1</v>
      </c>
      <c r="N61" s="116"/>
      <c r="O61" s="120"/>
      <c r="P61" s="118"/>
      <c r="Q61" s="117"/>
      <c r="S61" s="40">
        <f t="shared" si="0"/>
      </c>
      <c r="CX61" s="2">
        <f t="shared" si="1"/>
        <v>0</v>
      </c>
    </row>
    <row r="62" spans="2:102" ht="25.5">
      <c r="B62" s="49">
        <v>34</v>
      </c>
      <c r="C62" s="14" t="s">
        <v>16</v>
      </c>
      <c r="D62" s="98" t="str">
        <f>IF(H62="P",CONCATENATE("Phot Set= ",I62,IF(J62=0,"",CONCATENATE(", qy= ",TEXT(J62,"0.0e+0")))),H62)</f>
        <v>Phot Set= HNO4-06</v>
      </c>
      <c r="E62" s="98"/>
      <c r="F62" s="98"/>
      <c r="G62" s="99"/>
      <c r="H62" s="39" t="s">
        <v>1856</v>
      </c>
      <c r="I62" s="49" t="s">
        <v>17</v>
      </c>
      <c r="K62" s="116" t="s">
        <v>1861</v>
      </c>
      <c r="L62" s="120"/>
      <c r="M62" s="117"/>
      <c r="N62" s="116"/>
      <c r="O62" s="117"/>
      <c r="P62" s="118"/>
      <c r="Q62" s="117"/>
      <c r="S62" s="40">
        <f t="shared" si="0"/>
      </c>
      <c r="T62" s="116"/>
      <c r="U62" s="117"/>
      <c r="V62" s="116"/>
      <c r="W62" s="116"/>
      <c r="X62" s="117"/>
      <c r="Y62" s="117"/>
      <c r="CU62" s="1" t="s">
        <v>16</v>
      </c>
      <c r="CX62" s="2">
        <f t="shared" si="1"/>
        <v>0</v>
      </c>
    </row>
    <row r="63" spans="2:102" ht="15">
      <c r="B63" s="49">
        <v>35</v>
      </c>
      <c r="C63" s="14" t="s">
        <v>18</v>
      </c>
      <c r="D63" s="95">
        <f>IF(OR(H63="T",H63="C"),S63,H63)</f>
        <v>4.6137036586761946E-12</v>
      </c>
      <c r="E63" s="95">
        <f>IF(H63="C","",K63)</f>
        <v>1.3E-12</v>
      </c>
      <c r="F63" s="96">
        <f>IF(H63="C","",U63)</f>
        <v>-0.755136</v>
      </c>
      <c r="G63" s="96">
        <f>IF(M63=0,"",M63)</f>
      </c>
      <c r="H63" s="39" t="s">
        <v>1859</v>
      </c>
      <c r="K63" s="116">
        <v>1.3E-12</v>
      </c>
      <c r="L63" s="120">
        <v>-380</v>
      </c>
      <c r="M63" s="117">
        <v>0</v>
      </c>
      <c r="N63" s="116"/>
      <c r="O63" s="117"/>
      <c r="P63" s="118"/>
      <c r="Q63" s="117"/>
      <c r="S63" s="40">
        <f t="shared" si="0"/>
        <v>4.6137036586761946E-12</v>
      </c>
      <c r="T63" s="40">
        <f>K63*EXP(-L63/T$4)*((T$4/300)^M63)</f>
        <v>4.6137036586761946E-12</v>
      </c>
      <c r="U63" s="15">
        <f>L63*Rfac</f>
        <v>-0.755136</v>
      </c>
      <c r="V63" s="116"/>
      <c r="W63" s="116"/>
      <c r="X63" s="117"/>
      <c r="Y63" s="117"/>
      <c r="CU63" s="1" t="s">
        <v>18</v>
      </c>
      <c r="CX63" s="2">
        <f t="shared" si="1"/>
        <v>0</v>
      </c>
    </row>
    <row r="64" spans="2:102" ht="15">
      <c r="B64" s="49">
        <v>36</v>
      </c>
      <c r="C64" s="14" t="s">
        <v>19</v>
      </c>
      <c r="D64" s="95">
        <f>IF(OR(H64="T",H64="C"),S64,H64)</f>
        <v>2.0451082049677582E-15</v>
      </c>
      <c r="E64" s="95">
        <f>IF(H64="C","",K64)</f>
        <v>2.03E-16</v>
      </c>
      <c r="F64" s="96">
        <f>IF(H64="C","",U64)</f>
        <v>-1.3771296000000002</v>
      </c>
      <c r="G64" s="96">
        <f>IF(M64=0,"",M64)</f>
        <v>4.57</v>
      </c>
      <c r="H64" s="39" t="s">
        <v>1859</v>
      </c>
      <c r="K64" s="116">
        <v>2.03E-16</v>
      </c>
      <c r="L64" s="120">
        <v>-693</v>
      </c>
      <c r="M64" s="117">
        <v>4.57</v>
      </c>
      <c r="N64" s="116"/>
      <c r="O64" s="117"/>
      <c r="P64" s="118"/>
      <c r="Q64" s="117"/>
      <c r="S64" s="40">
        <f t="shared" si="0"/>
        <v>2.0451082049677582E-15</v>
      </c>
      <c r="T64" s="40">
        <f>K64*EXP(-L64/T$4)*((T$4/300)^M64)</f>
        <v>2.0451082049677582E-15</v>
      </c>
      <c r="U64" s="15">
        <f>L64*Rfac</f>
        <v>-1.3771296000000002</v>
      </c>
      <c r="V64" s="116"/>
      <c r="W64" s="116"/>
      <c r="X64" s="117"/>
      <c r="Y64" s="117"/>
      <c r="CU64" s="1" t="s">
        <v>19</v>
      </c>
      <c r="CX64" s="2">
        <f t="shared" si="1"/>
        <v>0</v>
      </c>
    </row>
    <row r="65" spans="2:102" ht="15">
      <c r="B65" s="49">
        <v>37</v>
      </c>
      <c r="C65" s="14" t="s">
        <v>20</v>
      </c>
      <c r="D65" s="95">
        <f>S65</f>
        <v>2.844565460793663E-12</v>
      </c>
      <c r="E65" s="103" t="str">
        <f>IF(H65="S1","k = k1 + k2 [M]",H65)</f>
        <v>k = k1 + k2 [M]</v>
      </c>
      <c r="F65" s="103"/>
      <c r="G65" s="99"/>
      <c r="H65" s="39" t="s">
        <v>10</v>
      </c>
      <c r="K65" s="116">
        <v>2.2E-13</v>
      </c>
      <c r="L65" s="120">
        <v>-600</v>
      </c>
      <c r="M65" s="117">
        <v>0</v>
      </c>
      <c r="N65" s="116">
        <v>1.9E-33</v>
      </c>
      <c r="O65" s="120">
        <v>-980</v>
      </c>
      <c r="P65" s="118">
        <v>0</v>
      </c>
      <c r="Q65" s="117"/>
      <c r="S65" s="40">
        <f t="shared" si="0"/>
        <v>2.844565460793663E-12</v>
      </c>
      <c r="T65" s="40">
        <f>K65*EXP(-L65/T$4)*((T$4/300)^M65)</f>
        <v>1.625592341764743E-12</v>
      </c>
      <c r="U65" s="15">
        <f>L65*Rfac</f>
        <v>-1.19232</v>
      </c>
      <c r="V65" s="40">
        <f>W65*V$3*7.3395E+21/T$4</f>
        <v>1.21897311902892E-12</v>
      </c>
      <c r="W65" s="40">
        <f>N65*EXP(-O65/W$4)*((W$4/300)^P65)</f>
        <v>4.982518369216922E-32</v>
      </c>
      <c r="X65" s="15">
        <f>O65*Rfac</f>
        <v>-1.947456</v>
      </c>
      <c r="Y65" s="15"/>
      <c r="CU65" s="1" t="s">
        <v>20</v>
      </c>
      <c r="CX65" s="2">
        <f t="shared" si="1"/>
        <v>0</v>
      </c>
    </row>
    <row r="66" spans="2:102" ht="15">
      <c r="B66" s="49" t="s">
        <v>1861</v>
      </c>
      <c r="D66" s="137" t="str">
        <f>IF(H65="S1","k1: ",H65)</f>
        <v>k1: </v>
      </c>
      <c r="E66" s="95">
        <f>K65</f>
        <v>2.2E-13</v>
      </c>
      <c r="F66" s="96">
        <f>U65</f>
        <v>-1.19232</v>
      </c>
      <c r="G66" s="96">
        <f>M65</f>
        <v>0</v>
      </c>
      <c r="K66" s="116"/>
      <c r="L66" s="120"/>
      <c r="M66" s="117"/>
      <c r="N66" s="116"/>
      <c r="O66" s="120"/>
      <c r="P66" s="118"/>
      <c r="Q66" s="117"/>
      <c r="S66" s="40">
        <f t="shared" si="0"/>
      </c>
      <c r="CX66" s="2">
        <f t="shared" si="1"/>
        <v>0</v>
      </c>
    </row>
    <row r="67" spans="2:102" ht="15">
      <c r="B67" s="49" t="s">
        <v>1861</v>
      </c>
      <c r="D67" s="137" t="str">
        <f>IF(H65="S1","k2: ",H65)</f>
        <v>k2: </v>
      </c>
      <c r="E67" s="95">
        <f>N65</f>
        <v>1.9E-33</v>
      </c>
      <c r="F67" s="96">
        <f>X65</f>
        <v>-1.947456</v>
      </c>
      <c r="G67" s="96">
        <f>P65</f>
        <v>0</v>
      </c>
      <c r="K67" s="116"/>
      <c r="L67" s="120"/>
      <c r="M67" s="117"/>
      <c r="N67" s="116"/>
      <c r="O67" s="120"/>
      <c r="P67" s="118"/>
      <c r="Q67" s="117"/>
      <c r="S67" s="40">
        <f t="shared" si="0"/>
      </c>
      <c r="CX67" s="2">
        <f t="shared" si="1"/>
        <v>0</v>
      </c>
    </row>
    <row r="68" spans="2:102" ht="15">
      <c r="B68" s="49">
        <v>38</v>
      </c>
      <c r="C68" s="14" t="s">
        <v>21</v>
      </c>
      <c r="D68" s="95">
        <f>S68</f>
        <v>6.094950302143958E-30</v>
      </c>
      <c r="E68" s="103" t="str">
        <f>IF(H68="S1","k = k1 + k2 [M]",H68)</f>
        <v>k = k1 + k2 [M]</v>
      </c>
      <c r="F68" s="103"/>
      <c r="G68" s="99"/>
      <c r="H68" s="39" t="s">
        <v>10</v>
      </c>
      <c r="K68" s="119">
        <f>0.0000000000000000000014*K65</f>
        <v>3.08E-34</v>
      </c>
      <c r="L68" s="122">
        <f>L65-2200</f>
        <v>-2800</v>
      </c>
      <c r="M68" s="117">
        <v>0</v>
      </c>
      <c r="N68" s="119">
        <f>0.0000000000000000000014*N65</f>
        <v>2.66E-54</v>
      </c>
      <c r="O68" s="122">
        <f>O65-2200</f>
        <v>-3180</v>
      </c>
      <c r="P68" s="118">
        <v>0</v>
      </c>
      <c r="Q68" s="117"/>
      <c r="S68" s="40">
        <f t="shared" si="0"/>
        <v>6.094950302143958E-30</v>
      </c>
      <c r="T68" s="40">
        <f>K68*EXP(-L68/T$4)*((T$4/300)^M68)</f>
        <v>3.483099500138598E-30</v>
      </c>
      <c r="U68" s="15">
        <f>L68*Rfac</f>
        <v>-5.56416</v>
      </c>
      <c r="V68" s="40">
        <f>W68*V$3*7.3395E+21/T$4</f>
        <v>2.61185080200536E-30</v>
      </c>
      <c r="W68" s="40">
        <f>N68*EXP(-O68/W$4)*((W$4/300)^P68)</f>
        <v>1.0675866756612958E-49</v>
      </c>
      <c r="X68" s="15">
        <f>O68*Rfac</f>
        <v>-6.3192960000000005</v>
      </c>
      <c r="Y68" s="15"/>
      <c r="CU68" s="1" t="s">
        <v>21</v>
      </c>
      <c r="CX68" s="2">
        <f t="shared" si="1"/>
        <v>0</v>
      </c>
    </row>
    <row r="69" spans="2:102" ht="15">
      <c r="B69" s="49" t="s">
        <v>1861</v>
      </c>
      <c r="D69" s="137" t="str">
        <f>IF(H68="S1","k1: ",H68)</f>
        <v>k1: </v>
      </c>
      <c r="E69" s="95">
        <f>K68</f>
        <v>3.08E-34</v>
      </c>
      <c r="F69" s="96">
        <f>U68</f>
        <v>-5.56416</v>
      </c>
      <c r="G69" s="96">
        <f>M68</f>
        <v>0</v>
      </c>
      <c r="K69" s="116"/>
      <c r="L69" s="120"/>
      <c r="M69" s="117"/>
      <c r="N69" s="116"/>
      <c r="O69" s="120"/>
      <c r="P69" s="118"/>
      <c r="Q69" s="117"/>
      <c r="S69" s="40">
        <f t="shared" si="0"/>
      </c>
      <c r="CX69" s="2">
        <f t="shared" si="1"/>
        <v>0</v>
      </c>
    </row>
    <row r="70" spans="2:102" ht="15">
      <c r="B70" s="49" t="s">
        <v>1861</v>
      </c>
      <c r="D70" s="137" t="str">
        <f>IF(H68="S1","k2: ",H68)</f>
        <v>k2: </v>
      </c>
      <c r="E70" s="95">
        <f>N68</f>
        <v>2.66E-54</v>
      </c>
      <c r="F70" s="96">
        <f>X68</f>
        <v>-6.3192960000000005</v>
      </c>
      <c r="G70" s="96">
        <f>P68</f>
        <v>0</v>
      </c>
      <c r="K70" s="116"/>
      <c r="L70" s="120"/>
      <c r="M70" s="117"/>
      <c r="N70" s="116"/>
      <c r="O70" s="120"/>
      <c r="P70" s="118"/>
      <c r="Q70" s="117"/>
      <c r="S70" s="40">
        <f t="shared" si="0"/>
      </c>
      <c r="CX70" s="2">
        <f t="shared" si="1"/>
        <v>0</v>
      </c>
    </row>
    <row r="71" spans="2:102" ht="25.5">
      <c r="B71" s="49">
        <v>39</v>
      </c>
      <c r="C71" s="14" t="s">
        <v>22</v>
      </c>
      <c r="D71" s="95">
        <f>IF(OR(H71="T",H71="C"),S71,H71)</f>
        <v>4E-12</v>
      </c>
      <c r="E71" s="95"/>
      <c r="F71" s="96">
        <f>IF(H71="C","",U71)</f>
      </c>
      <c r="G71" s="96">
        <f>IF(M71=0,"",M71)</f>
      </c>
      <c r="H71" s="39" t="s">
        <v>1851</v>
      </c>
      <c r="K71" s="116">
        <v>4E-12</v>
      </c>
      <c r="L71" s="120"/>
      <c r="M71" s="117"/>
      <c r="N71" s="116"/>
      <c r="O71" s="117"/>
      <c r="P71" s="118"/>
      <c r="Q71" s="117"/>
      <c r="S71" s="40">
        <f aca="true" t="shared" si="2" ref="S71:S91">IF(OR(H71="T",H71="C"),T71,IF(H71="F",(V71/(1+(V71/T71)))*Q71^(1/(1+((LOG10(V71/T71)/R71)^2))),IF(H71="S1",T71+V71,IF(H71="S2",T71+(V71/(1+(V71/T72))),""))))</f>
        <v>4E-12</v>
      </c>
      <c r="T71" s="40">
        <f>K71*EXP(-L71/T$4)*((T$4/300)^M71)</f>
        <v>4E-12</v>
      </c>
      <c r="U71" s="117"/>
      <c r="V71" s="116"/>
      <c r="W71" s="116"/>
      <c r="X71" s="117"/>
      <c r="Y71" s="117"/>
      <c r="CU71" s="1" t="s">
        <v>22</v>
      </c>
      <c r="CX71" s="2">
        <f aca="true" t="shared" si="3" ref="CX71:CX134">IF(CU71=C71,0,1)</f>
        <v>0</v>
      </c>
    </row>
    <row r="72" spans="2:102" ht="15">
      <c r="B72" s="49">
        <v>40</v>
      </c>
      <c r="C72" s="14" t="s">
        <v>23</v>
      </c>
      <c r="D72" s="95">
        <f>IF(OR(H72="T",H72="C"),S72,H72)</f>
        <v>2.413685363177681E-16</v>
      </c>
      <c r="E72" s="95">
        <f>IF(H72="C","",K72)</f>
        <v>8.5E-13</v>
      </c>
      <c r="F72" s="96">
        <f>IF(H72="C","",U72)</f>
        <v>4.86864</v>
      </c>
      <c r="G72" s="96">
        <f>IF(M72=0,"",M72)</f>
      </c>
      <c r="H72" s="39" t="s">
        <v>1859</v>
      </c>
      <c r="K72" s="116">
        <v>8.5E-13</v>
      </c>
      <c r="L72" s="120">
        <v>2450</v>
      </c>
      <c r="M72" s="117">
        <v>0</v>
      </c>
      <c r="N72" s="116"/>
      <c r="O72" s="117"/>
      <c r="P72" s="118"/>
      <c r="Q72" s="117"/>
      <c r="S72" s="40">
        <f t="shared" si="2"/>
        <v>2.413685363177681E-16</v>
      </c>
      <c r="T72" s="40">
        <f>K72*EXP(-L72/T$4)*((T$4/300)^M72)</f>
        <v>2.413685363177681E-16</v>
      </c>
      <c r="U72" s="15">
        <f>L72*Rfac</f>
        <v>4.86864</v>
      </c>
      <c r="V72" s="116"/>
      <c r="W72" s="116"/>
      <c r="X72" s="117"/>
      <c r="Y72" s="117"/>
      <c r="CU72" s="1" t="s">
        <v>23</v>
      </c>
      <c r="CX72" s="2">
        <f t="shared" si="3"/>
        <v>0</v>
      </c>
    </row>
    <row r="73" spans="2:102" ht="15">
      <c r="B73" s="49">
        <v>41</v>
      </c>
      <c r="C73" s="14" t="s">
        <v>24</v>
      </c>
      <c r="D73" s="98" t="str">
        <f>IF(H73="P",CONCATENATE("Phot Set= ",I73,IF(J73=0,"",CONCATENATE(", qy= ",TEXT(J73,"0.0e+0")))),H73)</f>
        <v>Phot Set= H2O2</v>
      </c>
      <c r="E73" s="98"/>
      <c r="F73" s="98"/>
      <c r="G73" s="99"/>
      <c r="H73" s="39" t="s">
        <v>1856</v>
      </c>
      <c r="I73" s="49" t="s">
        <v>25</v>
      </c>
      <c r="K73" s="116" t="s">
        <v>1861</v>
      </c>
      <c r="L73" s="120"/>
      <c r="M73" s="117"/>
      <c r="N73" s="116"/>
      <c r="O73" s="117"/>
      <c r="P73" s="118"/>
      <c r="Q73" s="117"/>
      <c r="S73" s="40">
        <f t="shared" si="2"/>
      </c>
      <c r="T73" s="116"/>
      <c r="U73" s="117"/>
      <c r="V73" s="116"/>
      <c r="W73" s="116"/>
      <c r="X73" s="117"/>
      <c r="Y73" s="117"/>
      <c r="CU73" s="1" t="s">
        <v>24</v>
      </c>
      <c r="CX73" s="2">
        <f t="shared" si="3"/>
        <v>0</v>
      </c>
    </row>
    <row r="74" spans="2:102" ht="15">
      <c r="B74" s="49">
        <v>42</v>
      </c>
      <c r="C74" s="14" t="s">
        <v>26</v>
      </c>
      <c r="D74" s="95">
        <f>IF(OR(H74="T",H74="C"),S74,H74)</f>
        <v>1.8E-12</v>
      </c>
      <c r="E74" s="95">
        <f>IF(H74="C","",K74)</f>
        <v>1.8E-12</v>
      </c>
      <c r="F74" s="96">
        <f>IF(H74="C","",U74)</f>
        <v>0</v>
      </c>
      <c r="G74" s="96">
        <f>IF(M74=0,"",M74)</f>
      </c>
      <c r="H74" s="39" t="s">
        <v>1859</v>
      </c>
      <c r="K74" s="116">
        <v>1.8E-12</v>
      </c>
      <c r="L74" s="120">
        <v>0</v>
      </c>
      <c r="M74" s="117">
        <v>0</v>
      </c>
      <c r="N74" s="116"/>
      <c r="O74" s="117"/>
      <c r="P74" s="118"/>
      <c r="Q74" s="117"/>
      <c r="S74" s="40">
        <f t="shared" si="2"/>
        <v>1.8E-12</v>
      </c>
      <c r="T74" s="40">
        <f>K74*EXP(-L74/T$4)*((T$4/300)^M74)</f>
        <v>1.8E-12</v>
      </c>
      <c r="U74" s="15">
        <f>L74*Rfac</f>
        <v>0</v>
      </c>
      <c r="V74" s="116"/>
      <c r="W74" s="116"/>
      <c r="X74" s="117"/>
      <c r="Y74" s="117"/>
      <c r="CU74" s="1" t="s">
        <v>26</v>
      </c>
      <c r="CX74" s="2">
        <f t="shared" si="3"/>
        <v>0</v>
      </c>
    </row>
    <row r="75" spans="2:102" ht="15">
      <c r="B75" s="49">
        <v>43</v>
      </c>
      <c r="C75" s="14" t="s">
        <v>27</v>
      </c>
      <c r="D75" s="95">
        <f>IF(OR(H75="T",H75="C"),S75,H75)</f>
        <v>1.1044684276285561E-10</v>
      </c>
      <c r="E75" s="95">
        <f>IF(H75="C","",K75)</f>
        <v>4.8E-11</v>
      </c>
      <c r="F75" s="96">
        <f>IF(H75="C","",U75)</f>
        <v>-0.4968</v>
      </c>
      <c r="G75" s="96">
        <f>IF(M75=0,"",M75)</f>
      </c>
      <c r="H75" s="39" t="s">
        <v>1859</v>
      </c>
      <c r="K75" s="116">
        <v>4.8E-11</v>
      </c>
      <c r="L75" s="120">
        <v>-250</v>
      </c>
      <c r="M75" s="117">
        <v>0</v>
      </c>
      <c r="N75" s="116"/>
      <c r="O75" s="117"/>
      <c r="P75" s="118"/>
      <c r="Q75" s="117"/>
      <c r="S75" s="40">
        <f t="shared" si="2"/>
        <v>1.1044684276285561E-10</v>
      </c>
      <c r="T75" s="40">
        <f>K75*EXP(-L75/T$4)*((T$4/300)^M75)</f>
        <v>1.1044684276285561E-10</v>
      </c>
      <c r="U75" s="15">
        <f>L75*Rfac</f>
        <v>-0.4968</v>
      </c>
      <c r="V75" s="116"/>
      <c r="W75" s="116"/>
      <c r="X75" s="117"/>
      <c r="Y75" s="117"/>
      <c r="CU75" s="1" t="s">
        <v>27</v>
      </c>
      <c r="CX75" s="2">
        <f t="shared" si="3"/>
        <v>0</v>
      </c>
    </row>
    <row r="76" spans="2:102" ht="15">
      <c r="B76" s="49">
        <v>44</v>
      </c>
      <c r="C76" s="14" t="s">
        <v>28</v>
      </c>
      <c r="D76" s="95">
        <f>S76</f>
        <v>9.486737531477564E-13</v>
      </c>
      <c r="E76" s="103" t="str">
        <f>IF(H76="F","Falloff, F="&amp;TEXT(Q76,"0.00")&amp;", N="&amp;TEXT(R76,"0.00"),H76)</f>
        <v>Falloff, F=0.60, N=1.00</v>
      </c>
      <c r="F76" s="103"/>
      <c r="G76" s="99"/>
      <c r="H76" s="39" t="s">
        <v>1843</v>
      </c>
      <c r="K76" s="116">
        <v>1.6E-12</v>
      </c>
      <c r="L76" s="120">
        <v>0</v>
      </c>
      <c r="M76" s="117">
        <v>0</v>
      </c>
      <c r="N76" s="116">
        <v>3.3E-31</v>
      </c>
      <c r="O76" s="120">
        <v>0</v>
      </c>
      <c r="P76" s="118">
        <v>-4.3</v>
      </c>
      <c r="Q76" s="117">
        <v>0.6</v>
      </c>
      <c r="R76" s="41">
        <v>1</v>
      </c>
      <c r="S76" s="40">
        <f t="shared" si="2"/>
        <v>9.486737531477564E-13</v>
      </c>
      <c r="T76" s="40">
        <f>K76*EXP(-L76/T$4)*((T$4/300)^M76)</f>
        <v>1.6E-12</v>
      </c>
      <c r="U76" s="15">
        <f>L76*Rfac</f>
        <v>0</v>
      </c>
      <c r="V76" s="40">
        <f>W76*V$3*7.3395E+21/T$4</f>
        <v>8.07345E-12</v>
      </c>
      <c r="W76" s="40">
        <f>N76*EXP(-O76/T$4)*(T$4/300)^P76</f>
        <v>3.3E-31</v>
      </c>
      <c r="X76" s="15">
        <f>O76*Rfac</f>
        <v>0</v>
      </c>
      <c r="Y76" s="15"/>
      <c r="CU76" s="1" t="s">
        <v>28</v>
      </c>
      <c r="CX76" s="2">
        <f t="shared" si="3"/>
        <v>0</v>
      </c>
    </row>
    <row r="77" spans="2:102" ht="15">
      <c r="B77" s="49" t="s">
        <v>1861</v>
      </c>
      <c r="D77" s="137" t="str">
        <f>IF(H76="F","0: ",H76)</f>
        <v>0: </v>
      </c>
      <c r="E77" s="95">
        <f>N76</f>
        <v>3.3E-31</v>
      </c>
      <c r="F77" s="96">
        <f>X76</f>
        <v>0</v>
      </c>
      <c r="G77" s="96">
        <f>P76</f>
        <v>-4.3</v>
      </c>
      <c r="K77" s="116"/>
      <c r="L77" s="120"/>
      <c r="M77" s="117"/>
      <c r="N77" s="116"/>
      <c r="O77" s="120"/>
      <c r="P77" s="118"/>
      <c r="Q77" s="117"/>
      <c r="S77" s="40">
        <f t="shared" si="2"/>
      </c>
      <c r="CX77" s="2">
        <f t="shared" si="3"/>
        <v>0</v>
      </c>
    </row>
    <row r="78" spans="2:102" ht="15">
      <c r="B78" s="49" t="s">
        <v>1861</v>
      </c>
      <c r="D78" s="137" t="str">
        <f>IF(H76="F","inf: ",H76)</f>
        <v>inf: </v>
      </c>
      <c r="E78" s="95">
        <f>K76</f>
        <v>1.6E-12</v>
      </c>
      <c r="F78" s="96">
        <f>U76</f>
        <v>0</v>
      </c>
      <c r="G78" s="96">
        <f>M76</f>
        <v>0</v>
      </c>
      <c r="K78" s="116"/>
      <c r="L78" s="120"/>
      <c r="M78" s="117"/>
      <c r="N78" s="116"/>
      <c r="O78" s="120"/>
      <c r="P78" s="118"/>
      <c r="Q78" s="117"/>
      <c r="S78" s="40">
        <f t="shared" si="2"/>
      </c>
      <c r="CX78" s="2">
        <f t="shared" si="3"/>
        <v>0</v>
      </c>
    </row>
    <row r="79" spans="2:102" ht="15">
      <c r="B79" s="49">
        <v>45</v>
      </c>
      <c r="C79" s="14" t="s">
        <v>29</v>
      </c>
      <c r="D79" s="95">
        <f>IF(OR(H79="T",H79="C"),S79,H79)</f>
        <v>7.021491134769775E-15</v>
      </c>
      <c r="E79" s="95">
        <f>IF(H79="C","",K79)</f>
        <v>7.7E-12</v>
      </c>
      <c r="F79" s="96">
        <f>IF(H79="C","",U79)</f>
        <v>4.17312</v>
      </c>
      <c r="G79" s="96">
        <f>IF(M79=0,"",M79)</f>
      </c>
      <c r="H79" s="39" t="s">
        <v>1859</v>
      </c>
      <c r="K79" s="116">
        <v>7.7E-12</v>
      </c>
      <c r="L79" s="120">
        <v>2100</v>
      </c>
      <c r="M79" s="117">
        <v>0</v>
      </c>
      <c r="N79" s="116"/>
      <c r="O79" s="120"/>
      <c r="P79" s="118"/>
      <c r="Q79" s="117"/>
      <c r="S79" s="40">
        <f>IF(OR(H79="T",H79="C"),T79,IF(H79="F",(V79/(1+(V79/T79)))*Q79^(1/(1+((LOG10(V79/T79)/R79)^2))),IF(H79="S1",T79+V79,IF(H79="S2",T79+(V79/(1+(V79/T85))),""))))</f>
        <v>7.021491134769775E-15</v>
      </c>
      <c r="T79" s="40">
        <f>K79*EXP(-L79/T$4)*((T$4/300)^M79)</f>
        <v>7.021491134769775E-15</v>
      </c>
      <c r="U79" s="15">
        <f>L79*Rfac</f>
        <v>4.17312</v>
      </c>
      <c r="V79" s="116"/>
      <c r="W79" s="116"/>
      <c r="X79" s="117"/>
      <c r="Y79" s="117"/>
      <c r="CU79" s="1" t="s">
        <v>29</v>
      </c>
      <c r="CX79" s="2">
        <f t="shared" si="3"/>
        <v>0</v>
      </c>
    </row>
    <row r="80" spans="1:102" ht="15">
      <c r="A80" s="13" t="s">
        <v>1535</v>
      </c>
      <c r="D80" s="95"/>
      <c r="E80" s="95"/>
      <c r="F80" s="96"/>
      <c r="G80" s="96"/>
      <c r="K80" s="116"/>
      <c r="L80" s="120"/>
      <c r="M80" s="117"/>
      <c r="N80" s="116"/>
      <c r="O80" s="120"/>
      <c r="P80" s="118"/>
      <c r="Q80" s="117"/>
      <c r="S80" s="40"/>
      <c r="T80" s="40"/>
      <c r="U80" s="15"/>
      <c r="V80" s="116"/>
      <c r="W80" s="116"/>
      <c r="X80" s="117"/>
      <c r="Y80" s="117"/>
      <c r="CX80" s="2">
        <f t="shared" si="3"/>
        <v>0</v>
      </c>
    </row>
    <row r="81" spans="2:102" ht="15">
      <c r="B81" s="49" t="s">
        <v>1536</v>
      </c>
      <c r="C81" s="14" t="s">
        <v>1537</v>
      </c>
      <c r="D81" s="98" t="str">
        <f>IF(H81="P",CONCATENATE("Phot Set= ",I81,IF(J81=0,"",CONCATENATE(", qy= ",TEXT(J81,"0.0e+0")))),H81)</f>
        <v>Phot Set= NO2EX</v>
      </c>
      <c r="E81" s="98"/>
      <c r="F81" s="98"/>
      <c r="G81" s="99"/>
      <c r="H81" s="39" t="s">
        <v>1856</v>
      </c>
      <c r="I81" s="49" t="s">
        <v>1529</v>
      </c>
      <c r="K81" s="116"/>
      <c r="L81" s="120"/>
      <c r="M81" s="117"/>
      <c r="N81" s="116"/>
      <c r="O81" s="120"/>
      <c r="P81" s="118"/>
      <c r="Q81" s="117"/>
      <c r="S81" s="40"/>
      <c r="T81" s="40"/>
      <c r="U81" s="15"/>
      <c r="V81" s="116"/>
      <c r="W81" s="116"/>
      <c r="X81" s="117"/>
      <c r="Y81" s="117"/>
      <c r="CU81" s="1" t="s">
        <v>1537</v>
      </c>
      <c r="CX81" s="2">
        <f t="shared" si="3"/>
        <v>0</v>
      </c>
    </row>
    <row r="82" spans="2:102" ht="15">
      <c r="B82" s="49" t="s">
        <v>1538</v>
      </c>
      <c r="C82" s="14" t="s">
        <v>1539</v>
      </c>
      <c r="D82" s="95">
        <f>IF(OR(H82="T",H82="C"),S82,H82)</f>
        <v>2.762838E-11</v>
      </c>
      <c r="E82" s="95">
        <f>IF(H82="C","",K82)</f>
      </c>
      <c r="F82" s="96">
        <f>IF(H82="C","",U82)</f>
      </c>
      <c r="G82" s="96">
        <f>IF(M82=0,"",M82)</f>
      </c>
      <c r="H82" s="39" t="s">
        <v>1851</v>
      </c>
      <c r="K82" s="116">
        <v>2.762838E-11</v>
      </c>
      <c r="L82" s="120"/>
      <c r="M82" s="117"/>
      <c r="N82" s="116"/>
      <c r="O82" s="120"/>
      <c r="P82" s="118"/>
      <c r="Q82" s="117"/>
      <c r="S82" s="40">
        <f>IF(OR(H82="T",H82="C"),T82,IF(H82="F",(V82/(1+(V82/T82)))*Q82^(1/(1+((LOG10(V82/T82)/R82)^2))),IF(H82="S1",T82+V82,IF(H82="S2",T82+(V82/(1+(V82/T83))),""))))</f>
        <v>2.762838E-11</v>
      </c>
      <c r="T82" s="40">
        <f>K82*EXP(-L82/T$4)*((T$4/300)^M82)</f>
        <v>2.762838E-11</v>
      </c>
      <c r="U82" s="15">
        <f>L82*Rfac</f>
        <v>0</v>
      </c>
      <c r="V82" s="116"/>
      <c r="W82" s="116"/>
      <c r="X82" s="117"/>
      <c r="Y82" s="117"/>
      <c r="CU82" s="1" t="s">
        <v>1539</v>
      </c>
      <c r="CX82" s="2">
        <f t="shared" si="3"/>
        <v>0</v>
      </c>
    </row>
    <row r="83" spans="2:102" ht="15">
      <c r="B83" s="49" t="s">
        <v>1540</v>
      </c>
      <c r="C83" s="14" t="s">
        <v>1541</v>
      </c>
      <c r="D83" s="95">
        <f>IF(OR(H83="T",H83="C"),S83,H83)</f>
        <v>1.7E-10</v>
      </c>
      <c r="E83" s="95">
        <f>IF(H83="C","",K83)</f>
      </c>
      <c r="F83" s="96">
        <f>IF(H83="C","",U83)</f>
      </c>
      <c r="G83" s="96">
        <f>IF(M83=0,"",M83)</f>
      </c>
      <c r="H83" s="39" t="s">
        <v>1851</v>
      </c>
      <c r="K83" s="116">
        <v>1.7E-10</v>
      </c>
      <c r="L83" s="120"/>
      <c r="M83" s="117"/>
      <c r="N83" s="116"/>
      <c r="O83" s="120"/>
      <c r="P83" s="118"/>
      <c r="Q83" s="117"/>
      <c r="S83" s="40">
        <f>IF(OR(H83="T",H83="C"),T83,IF(H83="F",(V83/(1+(V83/T83)))*Q83^(1/(1+((LOG10(V83/T83)/R83)^2))),IF(H83="S1",T83+V83,IF(H83="S2",T83+(V83/(1+(V83/T84))),""))))</f>
        <v>1.7E-10</v>
      </c>
      <c r="T83" s="40">
        <f>K83*EXP(-L83/T$4)*((T$4/300)^M83)</f>
        <v>1.7E-10</v>
      </c>
      <c r="U83" s="15">
        <f>L83*Rfac</f>
        <v>0</v>
      </c>
      <c r="V83" s="116"/>
      <c r="W83" s="116"/>
      <c r="X83" s="117"/>
      <c r="Y83" s="117"/>
      <c r="CU83" s="1" t="s">
        <v>1541</v>
      </c>
      <c r="CX83" s="2">
        <f t="shared" si="3"/>
        <v>0</v>
      </c>
    </row>
    <row r="84" spans="2:102" ht="15">
      <c r="B84" s="49" t="s">
        <v>1542</v>
      </c>
      <c r="C84" s="14" t="s">
        <v>1543</v>
      </c>
      <c r="D84" s="95">
        <f>IF(OR(H84="T",H84="C"),S84,H84)</f>
        <v>0</v>
      </c>
      <c r="E84" s="95">
        <f>IF(H84="C","",K84)</f>
      </c>
      <c r="F84" s="96">
        <f>IF(H84="C","",U84)</f>
      </c>
      <c r="G84" s="96">
        <f>IF(M84=0,"",M84)</f>
      </c>
      <c r="H84" s="39" t="s">
        <v>1851</v>
      </c>
      <c r="K84" s="116"/>
      <c r="L84" s="120"/>
      <c r="M84" s="117"/>
      <c r="N84" s="116"/>
      <c r="O84" s="120"/>
      <c r="P84" s="118"/>
      <c r="Q84" s="117"/>
      <c r="S84" s="40">
        <f>IF(OR(H84="T",H84="C"),T84,IF(H84="F",(V84/(1+(V84/T84)))*Q84^(1/(1+((LOG10(V84/T84)/R84)^2))),IF(H84="S1",T84+V84,IF(H84="S2",T84+(V84/(1+(V84/#REF!))),""))))</f>
        <v>0</v>
      </c>
      <c r="T84" s="40">
        <f>K84*EXP(-L84/T$4)*((T$4/300)^M84)</f>
        <v>0</v>
      </c>
      <c r="U84" s="15">
        <f>L84*Rfac</f>
        <v>0</v>
      </c>
      <c r="V84" s="116"/>
      <c r="W84" s="116"/>
      <c r="X84" s="117"/>
      <c r="Y84" s="117"/>
      <c r="CU84" s="1" t="s">
        <v>1543</v>
      </c>
      <c r="CX84" s="2">
        <f t="shared" si="3"/>
        <v>0</v>
      </c>
    </row>
    <row r="85" spans="1:102" ht="15">
      <c r="A85" s="13" t="s">
        <v>30</v>
      </c>
      <c r="D85" s="95"/>
      <c r="E85" s="95"/>
      <c r="F85" s="96"/>
      <c r="G85" s="96"/>
      <c r="J85" s="38"/>
      <c r="K85" s="109"/>
      <c r="L85" s="110"/>
      <c r="M85" s="111"/>
      <c r="N85" s="112"/>
      <c r="O85" s="111"/>
      <c r="P85" s="113"/>
      <c r="Q85" s="111"/>
      <c r="S85" s="40">
        <f t="shared" si="2"/>
      </c>
      <c r="T85" s="109"/>
      <c r="U85" s="111"/>
      <c r="V85" s="112"/>
      <c r="W85" s="112"/>
      <c r="X85" s="111"/>
      <c r="Y85" s="111"/>
      <c r="CX85" s="2">
        <f t="shared" si="3"/>
        <v>0</v>
      </c>
    </row>
    <row r="86" spans="2:102" ht="15">
      <c r="B86" s="49" t="s">
        <v>31</v>
      </c>
      <c r="C86" s="14" t="s">
        <v>32</v>
      </c>
      <c r="D86" s="95">
        <f aca="true" t="shared" si="4" ref="D86:D91">IF(OR(H86="T",H86="C"),S86,H86)</f>
        <v>7.636268922294059E-12</v>
      </c>
      <c r="E86" s="95">
        <f aca="true" t="shared" si="5" ref="E86:E91">IF(H86="C","",K86)</f>
        <v>2.3E-12</v>
      </c>
      <c r="F86" s="96">
        <f aca="true" t="shared" si="6" ref="F86:F91">IF(H86="C","",U86)</f>
        <v>-0.715392</v>
      </c>
      <c r="G86" s="96"/>
      <c r="H86" s="39" t="s">
        <v>1859</v>
      </c>
      <c r="K86" s="116">
        <v>2.3E-12</v>
      </c>
      <c r="L86" s="120">
        <v>-360</v>
      </c>
      <c r="M86" s="117">
        <v>0</v>
      </c>
      <c r="N86" s="116"/>
      <c r="O86" s="117"/>
      <c r="P86" s="118"/>
      <c r="Q86" s="117"/>
      <c r="S86" s="40">
        <f t="shared" si="2"/>
        <v>7.636268922294059E-12</v>
      </c>
      <c r="T86" s="40">
        <f aca="true" t="shared" si="7" ref="T86:T91">K86*EXP(-L86/T$4)*((T$4/300)^M86)</f>
        <v>7.636268922294059E-12</v>
      </c>
      <c r="U86" s="15">
        <f>L86*Rfac</f>
        <v>-0.715392</v>
      </c>
      <c r="V86" s="116"/>
      <c r="W86" s="116"/>
      <c r="X86" s="117"/>
      <c r="Y86" s="117"/>
      <c r="CU86" s="1" t="s">
        <v>32</v>
      </c>
      <c r="CX86" s="2">
        <f t="shared" si="3"/>
        <v>0</v>
      </c>
    </row>
    <row r="87" spans="2:102" ht="15">
      <c r="B87" s="49" t="s">
        <v>33</v>
      </c>
      <c r="C87" s="14" t="s">
        <v>34</v>
      </c>
      <c r="D87" s="95">
        <f t="shared" si="4"/>
        <v>4.653871863505769E-12</v>
      </c>
      <c r="E87" s="95">
        <f t="shared" si="5"/>
        <v>3.4566395293281533E-13</v>
      </c>
      <c r="F87" s="96">
        <f t="shared" si="6"/>
        <v>-1.5500086923458032</v>
      </c>
      <c r="G87" s="96">
        <f>IF(M87=0,"",M87)</f>
        <v>0.35605355101909014</v>
      </c>
      <c r="H87" s="39" t="s">
        <v>1859</v>
      </c>
      <c r="K87" s="116">
        <v>3.4566395293281533E-13</v>
      </c>
      <c r="L87" s="120">
        <v>-779.9963226377834</v>
      </c>
      <c r="M87" s="117">
        <v>0.35605355101909014</v>
      </c>
      <c r="N87" s="116"/>
      <c r="O87" s="117"/>
      <c r="P87" s="118"/>
      <c r="Q87" s="117"/>
      <c r="S87" s="40">
        <f t="shared" si="2"/>
        <v>4.653871863505769E-12</v>
      </c>
      <c r="T87" s="40">
        <f t="shared" si="7"/>
        <v>4.653871863505769E-12</v>
      </c>
      <c r="U87" s="15">
        <f>L87*Rfac</f>
        <v>-1.5500086923458032</v>
      </c>
      <c r="V87" s="116"/>
      <c r="W87" s="116"/>
      <c r="X87" s="117"/>
      <c r="Y87" s="117"/>
      <c r="CU87" s="1" t="s">
        <v>34</v>
      </c>
      <c r="CX87" s="2">
        <f t="shared" si="3"/>
        <v>0</v>
      </c>
    </row>
    <row r="88" spans="2:102" ht="15">
      <c r="B88" s="49" t="s">
        <v>35</v>
      </c>
      <c r="C88" s="14" t="s">
        <v>36</v>
      </c>
      <c r="D88" s="95">
        <f t="shared" si="4"/>
        <v>4.4991321938129975E-13</v>
      </c>
      <c r="E88" s="95">
        <f t="shared" si="5"/>
        <v>3.3416272321361984E-14</v>
      </c>
      <c r="F88" s="96">
        <f t="shared" si="6"/>
        <v>-1.5500229999652246</v>
      </c>
      <c r="G88" s="96">
        <f>IF(M88=0,"",M88)</f>
        <v>-3.533085282923624</v>
      </c>
      <c r="H88" s="39" t="s">
        <v>1859</v>
      </c>
      <c r="K88" s="116">
        <v>3.3416272321361984E-14</v>
      </c>
      <c r="L88" s="120">
        <v>-780.0035225267836</v>
      </c>
      <c r="M88" s="117">
        <v>-3.533085282923624</v>
      </c>
      <c r="N88" s="116"/>
      <c r="O88" s="117"/>
      <c r="P88" s="118"/>
      <c r="Q88" s="117"/>
      <c r="S88" s="40">
        <f t="shared" si="2"/>
        <v>4.4991321938129975E-13</v>
      </c>
      <c r="T88" s="40">
        <f t="shared" si="7"/>
        <v>4.4991321938129975E-13</v>
      </c>
      <c r="U88" s="15">
        <f>L88*Rfac</f>
        <v>-1.5500229999652246</v>
      </c>
      <c r="V88" s="116"/>
      <c r="W88" s="116"/>
      <c r="X88" s="117"/>
      <c r="Y88" s="117"/>
      <c r="CU88" s="1" t="s">
        <v>36</v>
      </c>
      <c r="CX88" s="2">
        <f t="shared" si="3"/>
        <v>0</v>
      </c>
    </row>
    <row r="89" spans="2:102" ht="15">
      <c r="B89" s="49" t="s">
        <v>37</v>
      </c>
      <c r="C89" s="14" t="s">
        <v>38</v>
      </c>
      <c r="D89" s="95">
        <f t="shared" si="4"/>
        <v>1.3E-12</v>
      </c>
      <c r="E89" s="95">
        <f t="shared" si="5"/>
      </c>
      <c r="F89" s="96">
        <f t="shared" si="6"/>
      </c>
      <c r="G89" s="96">
        <f>IF(M89=0,"",M89)</f>
      </c>
      <c r="H89" s="39" t="s">
        <v>1851</v>
      </c>
      <c r="K89" s="18">
        <v>1.3E-12</v>
      </c>
      <c r="L89" s="120"/>
      <c r="M89" s="117"/>
      <c r="N89" s="116"/>
      <c r="O89" s="117"/>
      <c r="P89" s="118"/>
      <c r="Q89" s="117"/>
      <c r="S89" s="40">
        <f t="shared" si="2"/>
        <v>1.3E-12</v>
      </c>
      <c r="T89" s="40">
        <f t="shared" si="7"/>
        <v>1.3E-12</v>
      </c>
      <c r="U89" s="117"/>
      <c r="V89" s="112"/>
      <c r="W89" s="112"/>
      <c r="X89" s="117"/>
      <c r="Y89" s="117"/>
      <c r="CU89" s="1" t="s">
        <v>38</v>
      </c>
      <c r="CX89" s="2">
        <f t="shared" si="3"/>
        <v>0</v>
      </c>
    </row>
    <row r="90" spans="2:102" ht="15">
      <c r="B90" s="49" t="s">
        <v>39</v>
      </c>
      <c r="C90" s="14" t="s">
        <v>40</v>
      </c>
      <c r="D90" s="95">
        <f t="shared" si="4"/>
        <v>2.1563840648877435E-13</v>
      </c>
      <c r="E90" s="95">
        <f t="shared" si="5"/>
        <v>6.387522148911073E-14</v>
      </c>
      <c r="F90" s="96">
        <f t="shared" si="6"/>
        <v>-0.7253308485412026</v>
      </c>
      <c r="G90" s="96">
        <f>IF(M90=0,"",M90)</f>
        <v>-1.7961549133896715</v>
      </c>
      <c r="H90" s="39" t="s">
        <v>1859</v>
      </c>
      <c r="K90" s="116">
        <v>6.387522148911073E-14</v>
      </c>
      <c r="L90" s="120">
        <v>-365.001433444647</v>
      </c>
      <c r="M90" s="117">
        <v>-1.7961549133896715</v>
      </c>
      <c r="N90" s="116"/>
      <c r="O90" s="117"/>
      <c r="P90" s="118"/>
      <c r="Q90" s="117"/>
      <c r="S90" s="40">
        <f t="shared" si="2"/>
        <v>2.1563840648877435E-13</v>
      </c>
      <c r="T90" s="40">
        <f t="shared" si="7"/>
        <v>2.1563840648877435E-13</v>
      </c>
      <c r="U90" s="15">
        <f>L90*Rfac</f>
        <v>-0.7253308485412026</v>
      </c>
      <c r="V90" s="116"/>
      <c r="W90" s="116"/>
      <c r="X90" s="117"/>
      <c r="Y90" s="117"/>
      <c r="CU90" s="1" t="s">
        <v>40</v>
      </c>
      <c r="CX90" s="2">
        <f t="shared" si="3"/>
        <v>0</v>
      </c>
    </row>
    <row r="91" spans="2:102" ht="15">
      <c r="B91" s="49" t="s">
        <v>41</v>
      </c>
      <c r="C91" s="14" t="s">
        <v>42</v>
      </c>
      <c r="D91" s="95">
        <f t="shared" si="4"/>
        <v>1.3075388985988158E-13</v>
      </c>
      <c r="E91" s="95">
        <f t="shared" si="5"/>
        <v>7.4E-13</v>
      </c>
      <c r="F91" s="96">
        <f t="shared" si="6"/>
        <v>1.033344</v>
      </c>
      <c r="G91" s="96">
        <f>IF(M91=0,"",M91)</f>
      </c>
      <c r="H91" s="39" t="s">
        <v>1859</v>
      </c>
      <c r="K91" s="116">
        <v>7.4E-13</v>
      </c>
      <c r="L91" s="120">
        <v>520</v>
      </c>
      <c r="M91" s="117">
        <v>0</v>
      </c>
      <c r="N91" s="116"/>
      <c r="O91" s="117"/>
      <c r="P91" s="118"/>
      <c r="Q91" s="117"/>
      <c r="S91" s="40">
        <f t="shared" si="2"/>
        <v>1.3075388985988158E-13</v>
      </c>
      <c r="T91" s="40">
        <f t="shared" si="7"/>
        <v>1.3075388985988158E-13</v>
      </c>
      <c r="U91" s="15">
        <f>L91*Rfac</f>
        <v>1.033344</v>
      </c>
      <c r="V91" s="116"/>
      <c r="W91" s="116"/>
      <c r="X91" s="117"/>
      <c r="Y91" s="117"/>
      <c r="CU91" s="1" t="s">
        <v>42</v>
      </c>
      <c r="CX91" s="2">
        <f t="shared" si="3"/>
        <v>0</v>
      </c>
    </row>
    <row r="92" spans="1:102" ht="15">
      <c r="A92" s="13" t="s">
        <v>43</v>
      </c>
      <c r="D92" s="95"/>
      <c r="E92" s="95"/>
      <c r="F92" s="96"/>
      <c r="G92" s="96"/>
      <c r="J92" s="38"/>
      <c r="K92" s="109"/>
      <c r="L92" s="110"/>
      <c r="M92" s="111"/>
      <c r="N92" s="112"/>
      <c r="O92" s="111"/>
      <c r="P92" s="113"/>
      <c r="Q92" s="111"/>
      <c r="S92" s="40">
        <f>IF(OR(H92="T",H92="C"),T92,IF(H92="F",(V92/(1+(V92/T92)))*Q92^(1/(1+((LOG10(V92/T92)/R92)^2))),IF(H92="S1",T92+V92,IF(H92="S2",T92+(V92/(1+(V92/#REF!))),""))))</f>
      </c>
      <c r="T92" s="109"/>
      <c r="U92" s="111"/>
      <c r="V92" s="112"/>
      <c r="W92" s="112"/>
      <c r="X92" s="111"/>
      <c r="Y92" s="111"/>
      <c r="CX92" s="2">
        <f t="shared" si="3"/>
        <v>0</v>
      </c>
    </row>
    <row r="93" spans="2:102" ht="15">
      <c r="B93" s="49" t="s">
        <v>44</v>
      </c>
      <c r="C93" s="14" t="s">
        <v>45</v>
      </c>
      <c r="D93" s="95">
        <f>IF(OR(H93="T",H93="C"),S93,H93)</f>
        <v>9.227407317352389E-12</v>
      </c>
      <c r="E93" s="95">
        <f>IF(H93="C","",K93)</f>
        <v>2.6E-12</v>
      </c>
      <c r="F93" s="96">
        <f>IF(H93="C","",U93)</f>
        <v>-0.755136</v>
      </c>
      <c r="G93" s="96">
        <f>IF(M93=0,"",M93)</f>
      </c>
      <c r="H93" s="39" t="s">
        <v>1859</v>
      </c>
      <c r="K93" s="116">
        <v>2.6E-12</v>
      </c>
      <c r="L93" s="120">
        <v>-380</v>
      </c>
      <c r="M93" s="117">
        <v>0</v>
      </c>
      <c r="N93" s="116"/>
      <c r="O93" s="117"/>
      <c r="P93" s="118"/>
      <c r="Q93" s="117"/>
      <c r="S93" s="40">
        <f aca="true" t="shared" si="8" ref="S93:S98">IF(OR(H93="T",H93="C"),T93,IF(H93="F",(V93/(1+(V93/T93)))*Q93^(1/(1+((LOG10(V93/T93)/R93)^2))),IF(H93="S1",T93+V93,IF(H93="S2",T93+(V93/(1+(V93/T94))),""))))</f>
        <v>9.227407317352389E-12</v>
      </c>
      <c r="T93" s="40">
        <f>K93*EXP(-L93/T$4)*((T$4/300)^M93)</f>
        <v>9.227407317352389E-12</v>
      </c>
      <c r="U93" s="15">
        <f>L93*Rfac</f>
        <v>-0.755136</v>
      </c>
      <c r="V93" s="116"/>
      <c r="W93" s="116"/>
      <c r="X93" s="117"/>
      <c r="Y93" s="117"/>
      <c r="CU93" s="1" t="s">
        <v>45</v>
      </c>
      <c r="CX93" s="2">
        <f t="shared" si="3"/>
        <v>0</v>
      </c>
    </row>
    <row r="94" spans="2:102" ht="15">
      <c r="B94" s="49" t="s">
        <v>46</v>
      </c>
      <c r="C94" s="14" t="s">
        <v>47</v>
      </c>
      <c r="D94" s="95">
        <f>IF(OR(H94="T",H94="C"),S94,H94)</f>
        <v>7.632504030811315E-12</v>
      </c>
      <c r="E94" s="95">
        <f>IF(H94="C","",K94)</f>
        <v>3.8E-13</v>
      </c>
      <c r="F94" s="96">
        <f>IF(H94="C","",U94)</f>
        <v>-1.78848</v>
      </c>
      <c r="G94" s="96">
        <f>IF(M94=0,"",M94)</f>
      </c>
      <c r="H94" s="39" t="s">
        <v>1859</v>
      </c>
      <c r="K94" s="116">
        <v>3.8E-13</v>
      </c>
      <c r="L94" s="120">
        <v>-900</v>
      </c>
      <c r="M94" s="117">
        <v>0</v>
      </c>
      <c r="N94" s="116"/>
      <c r="O94" s="117"/>
      <c r="P94" s="118"/>
      <c r="Q94" s="117"/>
      <c r="S94" s="40">
        <f t="shared" si="8"/>
        <v>7.632504030811315E-12</v>
      </c>
      <c r="T94" s="40">
        <f>K94*EXP(-L94/T$4)*((T$4/300)^M94)</f>
        <v>7.632504030811315E-12</v>
      </c>
      <c r="U94" s="15">
        <f>L94*Rfac</f>
        <v>-1.78848</v>
      </c>
      <c r="V94" s="116"/>
      <c r="W94" s="116"/>
      <c r="X94" s="117"/>
      <c r="Y94" s="117"/>
      <c r="CU94" s="1" t="s">
        <v>47</v>
      </c>
      <c r="CX94" s="2">
        <f t="shared" si="3"/>
        <v>0</v>
      </c>
    </row>
    <row r="95" spans="2:102" ht="15">
      <c r="B95" s="49" t="s">
        <v>48</v>
      </c>
      <c r="C95" s="14" t="s">
        <v>49</v>
      </c>
      <c r="D95" s="95">
        <f>IF(OR(H95="T",H95="C"),S95,H95)</f>
        <v>2.3E-12</v>
      </c>
      <c r="E95" s="95">
        <f>IF(H95="C","",K95)</f>
      </c>
      <c r="F95" s="96">
        <f>IF(H95="C","",U95)</f>
      </c>
      <c r="G95" s="96">
        <f>IF(M95=0,"",M95)</f>
      </c>
      <c r="H95" s="39" t="s">
        <v>1851</v>
      </c>
      <c r="K95" s="116">
        <v>2.3E-12</v>
      </c>
      <c r="L95" s="120"/>
      <c r="M95" s="117"/>
      <c r="N95" s="116"/>
      <c r="O95" s="117"/>
      <c r="P95" s="118"/>
      <c r="Q95" s="117"/>
      <c r="S95" s="40">
        <f t="shared" si="8"/>
        <v>2.3E-12</v>
      </c>
      <c r="T95" s="40">
        <f>K95*EXP(-L95/T$4)*((T$4/300)^M95)</f>
        <v>2.3E-12</v>
      </c>
      <c r="U95" s="15">
        <f>L95*Rfac</f>
        <v>0</v>
      </c>
      <c r="V95" s="116"/>
      <c r="W95" s="116"/>
      <c r="X95" s="117"/>
      <c r="Y95" s="117"/>
      <c r="CU95" s="1" t="s">
        <v>49</v>
      </c>
      <c r="CX95" s="2">
        <f t="shared" si="3"/>
        <v>0</v>
      </c>
    </row>
    <row r="96" spans="2:102" ht="25.5">
      <c r="B96" s="49" t="s">
        <v>50</v>
      </c>
      <c r="C96" s="14" t="s">
        <v>1551</v>
      </c>
      <c r="D96" s="95">
        <f>IF(OR(H96="T",H96="C"),S96,H96)</f>
        <v>2E-13</v>
      </c>
      <c r="E96" s="95">
        <f>IF(H96="C","",K96)</f>
      </c>
      <c r="F96" s="96">
        <f>IF(H96="C","",U96)</f>
      </c>
      <c r="G96" s="96">
        <f>IF(M96=0,"",M96)</f>
      </c>
      <c r="H96" s="39" t="s">
        <v>1851</v>
      </c>
      <c r="K96" s="116">
        <v>2E-13</v>
      </c>
      <c r="L96" s="120"/>
      <c r="M96" s="117"/>
      <c r="N96" s="116"/>
      <c r="O96" s="117"/>
      <c r="P96" s="118"/>
      <c r="Q96" s="117"/>
      <c r="S96" s="40">
        <f t="shared" si="8"/>
        <v>2E-13</v>
      </c>
      <c r="T96" s="40">
        <f>K96*EXP(-L96/T$4)*((T$4/300)^M96)</f>
        <v>2E-13</v>
      </c>
      <c r="U96" s="15">
        <f>L96*Rfac</f>
        <v>0</v>
      </c>
      <c r="V96" s="116"/>
      <c r="W96" s="116"/>
      <c r="X96" s="117"/>
      <c r="Y96" s="117"/>
      <c r="CU96" s="1" t="s">
        <v>51</v>
      </c>
      <c r="CX96" s="2">
        <f t="shared" si="3"/>
        <v>1</v>
      </c>
    </row>
    <row r="97" spans="2:102" ht="15">
      <c r="B97" s="49" t="s">
        <v>52</v>
      </c>
      <c r="C97" s="14" t="s">
        <v>53</v>
      </c>
      <c r="D97" s="95">
        <f>IF(OR(H97="T",H97="C"),S97,H97)</f>
        <v>3.5E-14</v>
      </c>
      <c r="E97" s="95">
        <f>IF(H97="C","",K97)</f>
      </c>
      <c r="F97" s="96">
        <f>IF(H97="C","",U97)</f>
      </c>
      <c r="G97" s="96">
        <f>IF(M97=0,"",M97)</f>
      </c>
      <c r="H97" s="39" t="s">
        <v>1851</v>
      </c>
      <c r="K97" s="116">
        <v>3.5E-14</v>
      </c>
      <c r="L97" s="120"/>
      <c r="M97" s="117"/>
      <c r="N97" s="116"/>
      <c r="O97" s="117"/>
      <c r="P97" s="118"/>
      <c r="Q97" s="117"/>
      <c r="S97" s="40">
        <f>IF(OR(H97="T",H97="C"),T97,IF(H97="F",(V97/(1+(V97/T97)))*Q97^(1/(1+((LOG10(V97/T97)/R97)^2))),IF(H97="S1",T97+V97,IF(H97="S2",T97+(V97/(1+(V97/#REF!))),""))))</f>
        <v>3.5E-14</v>
      </c>
      <c r="T97" s="40">
        <f>K97*EXP(-L97/T$4)*((T$4/300)^M97)</f>
        <v>3.5E-14</v>
      </c>
      <c r="U97" s="15">
        <f>L97*Rfac</f>
        <v>0</v>
      </c>
      <c r="V97" s="116"/>
      <c r="W97" s="116"/>
      <c r="X97" s="117"/>
      <c r="Y97" s="117"/>
      <c r="CU97" s="1" t="s">
        <v>53</v>
      </c>
      <c r="CX97" s="2">
        <f t="shared" si="3"/>
        <v>0</v>
      </c>
    </row>
    <row r="98" spans="2:102" ht="15">
      <c r="B98" s="49" t="s">
        <v>54</v>
      </c>
      <c r="C98" s="14" t="s">
        <v>55</v>
      </c>
      <c r="D98" s="98" t="str">
        <f aca="true" t="shared" si="9" ref="D98:D103">IF(H98="S",CONCATENATE("Same k as rxn ",I98),H98)</f>
        <v>Same k as rxn BR07</v>
      </c>
      <c r="E98" s="98"/>
      <c r="F98" s="98"/>
      <c r="G98" s="99"/>
      <c r="H98" s="39" t="s">
        <v>56</v>
      </c>
      <c r="I98" s="49" t="s">
        <v>44</v>
      </c>
      <c r="K98" s="116" t="s">
        <v>1861</v>
      </c>
      <c r="L98" s="120"/>
      <c r="M98" s="117"/>
      <c r="N98" s="116"/>
      <c r="O98" s="117"/>
      <c r="P98" s="118"/>
      <c r="Q98" s="117"/>
      <c r="S98" s="40">
        <f t="shared" si="8"/>
      </c>
      <c r="T98" s="116"/>
      <c r="U98" s="117"/>
      <c r="V98" s="116"/>
      <c r="W98" s="116"/>
      <c r="X98" s="117"/>
      <c r="Y98" s="117"/>
      <c r="CU98" s="1" t="s">
        <v>55</v>
      </c>
      <c r="CX98" s="2">
        <f t="shared" si="3"/>
        <v>0</v>
      </c>
    </row>
    <row r="99" spans="2:102" ht="15">
      <c r="B99" s="49" t="s">
        <v>57</v>
      </c>
      <c r="C99" s="14" t="s">
        <v>58</v>
      </c>
      <c r="D99" s="98" t="str">
        <f t="shared" si="9"/>
        <v>Same k as rxn BR08</v>
      </c>
      <c r="E99" s="98"/>
      <c r="F99" s="98"/>
      <c r="G99" s="99"/>
      <c r="H99" s="39" t="s">
        <v>56</v>
      </c>
      <c r="I99" s="49" t="s">
        <v>46</v>
      </c>
      <c r="K99" s="116" t="s">
        <v>1861</v>
      </c>
      <c r="L99" s="120"/>
      <c r="M99" s="117"/>
      <c r="N99" s="116"/>
      <c r="O99" s="117"/>
      <c r="P99" s="118"/>
      <c r="Q99" s="117"/>
      <c r="S99" s="40">
        <f>IF(OR(H99="T",H99="C"),T99,IF(H99="F",(V99/(1+(V99/T99)))*Q99^(1/(1+((LOG10(V99/T99)/R99)^2))),IF(H99="S1",T99+V99,IF(H99="S2",T99+(V99/(1+(V99/T101))),""))))</f>
      </c>
      <c r="T99" s="116"/>
      <c r="U99" s="117"/>
      <c r="V99" s="116"/>
      <c r="W99" s="116"/>
      <c r="X99" s="117"/>
      <c r="Y99" s="117"/>
      <c r="CU99" s="1" t="s">
        <v>58</v>
      </c>
      <c r="CX99" s="2">
        <f t="shared" si="3"/>
        <v>0</v>
      </c>
    </row>
    <row r="100" spans="2:102" ht="15">
      <c r="B100" s="49" t="s">
        <v>59</v>
      </c>
      <c r="C100" s="14" t="s">
        <v>60</v>
      </c>
      <c r="D100" s="98" t="str">
        <f t="shared" si="9"/>
        <v>Same k as rxn BR09</v>
      </c>
      <c r="E100" s="98"/>
      <c r="F100" s="98"/>
      <c r="G100" s="99"/>
      <c r="H100" s="39" t="s">
        <v>56</v>
      </c>
      <c r="I100" s="49" t="s">
        <v>48</v>
      </c>
      <c r="K100" s="116" t="s">
        <v>1861</v>
      </c>
      <c r="L100" s="120"/>
      <c r="M100" s="117"/>
      <c r="N100" s="116"/>
      <c r="O100" s="117"/>
      <c r="P100" s="118"/>
      <c r="Q100" s="117"/>
      <c r="S100" s="40">
        <f>IF(OR(H100="T",H100="C"),T100,IF(H100="F",(V100/(1+(V100/T100)))*Q100^(1/(1+((LOG10(V100/T100)/R100)^2))),IF(H100="S1",T100+V100,IF(H100="S2",T100+(V100/(1+(V100/T102))),""))))</f>
      </c>
      <c r="T100" s="116"/>
      <c r="U100" s="117"/>
      <c r="V100" s="116"/>
      <c r="W100" s="116"/>
      <c r="X100" s="117"/>
      <c r="Y100" s="117"/>
      <c r="CU100" s="1" t="s">
        <v>60</v>
      </c>
      <c r="CX100" s="2">
        <f t="shared" si="3"/>
        <v>0</v>
      </c>
    </row>
    <row r="101" spans="2:102" ht="25.5">
      <c r="B101" s="49" t="s">
        <v>61</v>
      </c>
      <c r="C101" s="14" t="s">
        <v>1552</v>
      </c>
      <c r="D101" s="98" t="str">
        <f t="shared" si="9"/>
        <v>Same k as rxn BR10</v>
      </c>
      <c r="E101" s="98"/>
      <c r="F101" s="98"/>
      <c r="G101" s="99"/>
      <c r="H101" s="39" t="s">
        <v>56</v>
      </c>
      <c r="I101" s="49" t="s">
        <v>50</v>
      </c>
      <c r="K101" s="116" t="s">
        <v>1861</v>
      </c>
      <c r="L101" s="120"/>
      <c r="M101" s="117"/>
      <c r="N101" s="116"/>
      <c r="O101" s="117"/>
      <c r="P101" s="118"/>
      <c r="Q101" s="117"/>
      <c r="S101" s="40">
        <f>IF(OR(H101="T",H101="C"),T101,IF(H101="F",(V101/(1+(V101/T101)))*Q101^(1/(1+((LOG10(V101/T101)/R101)^2))),IF(H101="S1",T101+V101,IF(H101="S2",T101+(V101/(1+(V101/T100))),""))))</f>
      </c>
      <c r="T101" s="116"/>
      <c r="U101" s="117"/>
      <c r="V101" s="116"/>
      <c r="W101" s="116"/>
      <c r="X101" s="117"/>
      <c r="Y101" s="117"/>
      <c r="CU101" s="1" t="s">
        <v>62</v>
      </c>
      <c r="CX101" s="2">
        <f t="shared" si="3"/>
        <v>1</v>
      </c>
    </row>
    <row r="102" spans="2:102" ht="15">
      <c r="B102" s="49" t="s">
        <v>63</v>
      </c>
      <c r="C102" s="14" t="s">
        <v>64</v>
      </c>
      <c r="D102" s="98" t="str">
        <f t="shared" si="9"/>
        <v>Same k as rxn BR11</v>
      </c>
      <c r="E102" s="98"/>
      <c r="F102" s="98"/>
      <c r="G102" s="99"/>
      <c r="H102" s="39" t="s">
        <v>56</v>
      </c>
      <c r="I102" s="49" t="s">
        <v>52</v>
      </c>
      <c r="K102" s="116" t="s">
        <v>1861</v>
      </c>
      <c r="L102" s="120"/>
      <c r="M102" s="117"/>
      <c r="N102" s="116"/>
      <c r="O102" s="117"/>
      <c r="P102" s="118"/>
      <c r="Q102" s="117"/>
      <c r="S102" s="40">
        <f>IF(OR(H102="T",H102="C"),T102,IF(H102="F",(V102/(1+(V102/T102)))*Q102^(1/(1+((LOG10(V102/T102)/R102)^2))),IF(H102="S1",T102+V102,IF(H102="S2",T102+(V102/(1+(V102/#REF!))),""))))</f>
      </c>
      <c r="T102" s="116"/>
      <c r="U102" s="117"/>
      <c r="V102" s="116"/>
      <c r="W102" s="116"/>
      <c r="X102" s="117"/>
      <c r="Y102" s="117"/>
      <c r="CU102" s="1" t="s">
        <v>64</v>
      </c>
      <c r="CX102" s="2">
        <f t="shared" si="3"/>
        <v>0</v>
      </c>
    </row>
    <row r="103" spans="2:102" ht="15">
      <c r="B103" s="49" t="s">
        <v>65</v>
      </c>
      <c r="C103" s="14" t="s">
        <v>66</v>
      </c>
      <c r="D103" s="98" t="str">
        <f t="shared" si="9"/>
        <v>Same k as rxn BR11</v>
      </c>
      <c r="E103" s="98"/>
      <c r="F103" s="98"/>
      <c r="G103" s="99"/>
      <c r="H103" s="39" t="s">
        <v>56</v>
      </c>
      <c r="I103" s="49" t="s">
        <v>52</v>
      </c>
      <c r="K103" s="116" t="s">
        <v>1861</v>
      </c>
      <c r="L103" s="120"/>
      <c r="M103" s="117"/>
      <c r="N103" s="116"/>
      <c r="O103" s="117"/>
      <c r="P103" s="118"/>
      <c r="Q103" s="117"/>
      <c r="S103" s="40">
        <f aca="true" t="shared" si="10" ref="S103:S109">IF(OR(H103="T",H103="C"),T103,IF(H103="F",(V103/(1+(V103/T103)))*Q103^(1/(1+((LOG10(V103/T103)/R103)^2))),IF(H103="S1",T103+V103,IF(H103="S2",T103+(V103/(1+(V103/T104))),""))))</f>
      </c>
      <c r="T103" s="116"/>
      <c r="U103" s="117"/>
      <c r="V103" s="116"/>
      <c r="W103" s="116"/>
      <c r="X103" s="117"/>
      <c r="Y103" s="117"/>
      <c r="CU103" s="1" t="s">
        <v>66</v>
      </c>
      <c r="CX103" s="2">
        <f t="shared" si="3"/>
        <v>0</v>
      </c>
    </row>
    <row r="104" spans="1:102" ht="15">
      <c r="A104" s="13" t="s">
        <v>67</v>
      </c>
      <c r="D104" s="95"/>
      <c r="E104" s="95"/>
      <c r="F104" s="96"/>
      <c r="G104" s="96"/>
      <c r="J104" s="38"/>
      <c r="K104" s="109"/>
      <c r="L104" s="110"/>
      <c r="M104" s="111"/>
      <c r="N104" s="112"/>
      <c r="O104" s="111"/>
      <c r="P104" s="113"/>
      <c r="Q104" s="111"/>
      <c r="S104" s="40">
        <f t="shared" si="10"/>
      </c>
      <c r="T104" s="109"/>
      <c r="U104" s="111"/>
      <c r="V104" s="112"/>
      <c r="W104" s="112"/>
      <c r="X104" s="111"/>
      <c r="Y104" s="111"/>
      <c r="CX104" s="2">
        <f t="shared" si="3"/>
        <v>0</v>
      </c>
    </row>
    <row r="105" spans="2:102" ht="15">
      <c r="B105" s="49" t="s">
        <v>68</v>
      </c>
      <c r="C105" s="14" t="s">
        <v>69</v>
      </c>
      <c r="D105" s="95">
        <f>S105</f>
        <v>9.372072349568304E-12</v>
      </c>
      <c r="E105" s="103" t="str">
        <f>IF(H105="F","Falloff, F="&amp;TEXT(Q105,"0.00")&amp;", N="&amp;TEXT(R105,"0.00"),H105)</f>
        <v>Falloff, F=0.30, N=1.41</v>
      </c>
      <c r="F105" s="103"/>
      <c r="G105" s="99"/>
      <c r="H105" s="39" t="s">
        <v>1843</v>
      </c>
      <c r="K105" s="116">
        <v>1.21E-11</v>
      </c>
      <c r="L105" s="120">
        <v>0</v>
      </c>
      <c r="M105" s="117">
        <v>-0.9</v>
      </c>
      <c r="N105" s="116">
        <v>2.7E-28</v>
      </c>
      <c r="O105" s="120">
        <v>0</v>
      </c>
      <c r="P105" s="118">
        <v>-7.1</v>
      </c>
      <c r="Q105" s="117">
        <v>0.3</v>
      </c>
      <c r="R105" s="15">
        <f>0.75-(1.27*LOG10(Q105))</f>
        <v>1.4140560065060288</v>
      </c>
      <c r="S105" s="40">
        <f t="shared" si="10"/>
        <v>9.372072349568304E-12</v>
      </c>
      <c r="T105" s="40">
        <f>K105*EXP(-L105/T$4)*((T$4/300)^M105)</f>
        <v>1.21E-11</v>
      </c>
      <c r="U105" s="15">
        <f>L105*Rfac</f>
        <v>0</v>
      </c>
      <c r="V105" s="40">
        <f>W105*V$3*7.3395E+21/T$4</f>
        <v>6.60555E-09</v>
      </c>
      <c r="W105" s="40">
        <f>N105*EXP(-O105/T$4)*(T$4/300)^P105</f>
        <v>2.7E-28</v>
      </c>
      <c r="X105" s="15">
        <f>O105*Rfac</f>
        <v>0</v>
      </c>
      <c r="Y105" s="15"/>
      <c r="CU105" s="1" t="s">
        <v>69</v>
      </c>
      <c r="CX105" s="2">
        <f t="shared" si="3"/>
        <v>0</v>
      </c>
    </row>
    <row r="106" spans="2:102" ht="15">
      <c r="B106" s="49" t="s">
        <v>1861</v>
      </c>
      <c r="D106" s="137" t="str">
        <f>IF(H105="F","0: ",H105)</f>
        <v>0: </v>
      </c>
      <c r="E106" s="95">
        <f>N105</f>
        <v>2.7E-28</v>
      </c>
      <c r="F106" s="96">
        <f>X105</f>
        <v>0</v>
      </c>
      <c r="G106" s="96">
        <f>P105</f>
        <v>-7.1</v>
      </c>
      <c r="K106" s="116"/>
      <c r="L106" s="120"/>
      <c r="M106" s="117"/>
      <c r="N106" s="116"/>
      <c r="O106" s="120"/>
      <c r="P106" s="118"/>
      <c r="Q106" s="117"/>
      <c r="S106" s="40">
        <f t="shared" si="10"/>
      </c>
      <c r="CX106" s="2">
        <f t="shared" si="3"/>
        <v>0</v>
      </c>
    </row>
    <row r="107" spans="2:102" ht="15">
      <c r="B107" s="49" t="s">
        <v>1861</v>
      </c>
      <c r="D107" s="137" t="str">
        <f>IF(H105="F","inf: ",H105)</f>
        <v>inf: </v>
      </c>
      <c r="E107" s="95">
        <f>K105</f>
        <v>1.21E-11</v>
      </c>
      <c r="F107" s="96">
        <f>U105</f>
        <v>0</v>
      </c>
      <c r="G107" s="96">
        <f>M105</f>
        <v>-0.9</v>
      </c>
      <c r="K107" s="116"/>
      <c r="L107" s="120"/>
      <c r="M107" s="117"/>
      <c r="N107" s="116"/>
      <c r="O107" s="120"/>
      <c r="P107" s="118"/>
      <c r="Q107" s="117"/>
      <c r="S107" s="40">
        <f t="shared" si="10"/>
      </c>
      <c r="CX107" s="2">
        <f t="shared" si="3"/>
        <v>0</v>
      </c>
    </row>
    <row r="108" spans="2:102" ht="15">
      <c r="B108" s="49" t="s">
        <v>70</v>
      </c>
      <c r="C108" s="14" t="s">
        <v>71</v>
      </c>
      <c r="D108" s="95">
        <f>S108</f>
        <v>0.0006266960745495685</v>
      </c>
      <c r="E108" s="103" t="str">
        <f>IF(H108="F","Falloff, F="&amp;TEXT(Q108,"0.00")&amp;", N="&amp;TEXT(R108,"0.00"),H108)</f>
        <v>Falloff, F=0.30, N=1.41</v>
      </c>
      <c r="F108" s="103"/>
      <c r="G108" s="99"/>
      <c r="H108" s="39" t="s">
        <v>1843</v>
      </c>
      <c r="K108" s="116">
        <v>40000000000000000</v>
      </c>
      <c r="L108" s="120">
        <v>13600</v>
      </c>
      <c r="M108" s="117">
        <v>0</v>
      </c>
      <c r="N108" s="116">
        <v>0.0049</v>
      </c>
      <c r="O108" s="120">
        <v>12100</v>
      </c>
      <c r="P108" s="118">
        <v>0</v>
      </c>
      <c r="Q108" s="117">
        <v>0.3</v>
      </c>
      <c r="R108" s="15">
        <f>0.75-(1.27*LOG10(Q108))</f>
        <v>1.4140560065060288</v>
      </c>
      <c r="S108" s="40">
        <f t="shared" si="10"/>
        <v>0.0006266960745495685</v>
      </c>
      <c r="T108" s="40">
        <f>K108*EXP(-L108/T$4)*((T$4/300)^M108)</f>
        <v>0.00082043367602515</v>
      </c>
      <c r="U108" s="15">
        <f>L108*Rfac</f>
        <v>27.025920000000003</v>
      </c>
      <c r="V108" s="40">
        <f>W108*V$3*7.3395E+21/T$4</f>
        <v>0.36491960549975455</v>
      </c>
      <c r="W108" s="40">
        <f>N108*EXP(-O108/T$4)*(T$4/300)^P108</f>
        <v>1.4915986327396466E-20</v>
      </c>
      <c r="X108" s="15">
        <f>O108*Rfac</f>
        <v>24.04512</v>
      </c>
      <c r="Y108" s="15"/>
      <c r="CU108" s="1" t="s">
        <v>71</v>
      </c>
      <c r="CX108" s="2">
        <f t="shared" si="3"/>
        <v>0</v>
      </c>
    </row>
    <row r="109" spans="2:102" ht="15">
      <c r="B109" s="49" t="s">
        <v>1861</v>
      </c>
      <c r="D109" s="137" t="str">
        <f>IF(H108="F","0: ",H108)</f>
        <v>0: </v>
      </c>
      <c r="E109" s="95">
        <f>N108</f>
        <v>0.0049</v>
      </c>
      <c r="F109" s="96">
        <f>X108</f>
        <v>24.04512</v>
      </c>
      <c r="G109" s="96">
        <f>P108</f>
        <v>0</v>
      </c>
      <c r="K109" s="116"/>
      <c r="L109" s="120"/>
      <c r="M109" s="117"/>
      <c r="N109" s="116"/>
      <c r="O109" s="120"/>
      <c r="P109" s="118"/>
      <c r="Q109" s="117"/>
      <c r="S109" s="40">
        <f t="shared" si="10"/>
      </c>
      <c r="CX109" s="2">
        <f t="shared" si="3"/>
        <v>0</v>
      </c>
    </row>
    <row r="110" spans="2:102" ht="15">
      <c r="B110" s="49" t="s">
        <v>1861</v>
      </c>
      <c r="D110" s="137" t="str">
        <f>IF(H108="F","inf: ",H108)</f>
        <v>inf: </v>
      </c>
      <c r="E110" s="95">
        <f>K108</f>
        <v>40000000000000000</v>
      </c>
      <c r="F110" s="96">
        <f>U108</f>
        <v>27.025920000000003</v>
      </c>
      <c r="G110" s="96">
        <f>M108</f>
        <v>0</v>
      </c>
      <c r="K110" s="116"/>
      <c r="L110" s="120"/>
      <c r="M110" s="117"/>
      <c r="N110" s="116"/>
      <c r="O110" s="120"/>
      <c r="P110" s="118"/>
      <c r="Q110" s="117"/>
      <c r="S110" s="40">
        <f>IF(OR(H110="T",H110="C"),T110,IF(H110="F",(V110/(1+(V110/T110)))*Q110^(1/(1+((LOG10(V110/T110)/R110)^2))),IF(H110="S1",T110+V110,IF(H110="S2",T110+(V110/(1+(V110/T112))),""))))</f>
      </c>
      <c r="CX110" s="2">
        <f t="shared" si="3"/>
        <v>0</v>
      </c>
    </row>
    <row r="111" spans="2:102" ht="25.5">
      <c r="B111" s="49" t="s">
        <v>72</v>
      </c>
      <c r="C111" s="14" t="s">
        <v>73</v>
      </c>
      <c r="D111" s="98" t="str">
        <f>IF(H111="P",CONCATENATE("Phot Set= ",I111,IF(J111=0,"",CONCATENATE(", qy= ",TEXT(J111,"0.0e+0")))),H111)</f>
        <v>Phot Set= PAN</v>
      </c>
      <c r="E111" s="98"/>
      <c r="F111" s="98"/>
      <c r="G111" s="99"/>
      <c r="H111" s="39" t="s">
        <v>1856</v>
      </c>
      <c r="I111" s="49" t="s">
        <v>1470</v>
      </c>
      <c r="K111" s="116"/>
      <c r="L111" s="120"/>
      <c r="M111" s="117"/>
      <c r="N111" s="116"/>
      <c r="O111" s="120"/>
      <c r="P111" s="118"/>
      <c r="Q111" s="117"/>
      <c r="S111" s="40"/>
      <c r="CU111" s="1" t="s">
        <v>73</v>
      </c>
      <c r="CX111" s="2">
        <f t="shared" si="3"/>
        <v>0</v>
      </c>
    </row>
    <row r="112" spans="2:102" ht="15">
      <c r="B112" s="49" t="s">
        <v>74</v>
      </c>
      <c r="C112" s="14" t="s">
        <v>75</v>
      </c>
      <c r="D112" s="95">
        <f>IF(OR(H112="T",H112="C"),S112,H112)</f>
        <v>1.971874462599941E-11</v>
      </c>
      <c r="E112" s="95">
        <f>IF(H112="C","",K112)</f>
        <v>7.5E-12</v>
      </c>
      <c r="F112" s="96">
        <f>IF(H112="C","",U112)</f>
        <v>-0.576288</v>
      </c>
      <c r="G112" s="96">
        <f>IF(M112=0,"",M112)</f>
      </c>
      <c r="H112" s="39" t="s">
        <v>1859</v>
      </c>
      <c r="K112" s="116">
        <v>7.5E-12</v>
      </c>
      <c r="L112" s="120">
        <v>-290</v>
      </c>
      <c r="M112" s="117">
        <v>0</v>
      </c>
      <c r="N112" s="116"/>
      <c r="O112" s="117"/>
      <c r="P112" s="118"/>
      <c r="Q112" s="117"/>
      <c r="S112" s="40">
        <f>IF(OR(H112="T",H112="C"),T112,IF(H112="F",(V112/(1+(V112/T112)))*Q112^(1/(1+((LOG10(V112/T112)/R112)^2))),IF(H112="S1",T112+V112,IF(H112="S2",T112+(V112/(1+(V112/T113))),""))))</f>
        <v>1.971874462599941E-11</v>
      </c>
      <c r="T112" s="40">
        <f>K112*EXP(-L112/T$4)*((T$4/300)^M112)</f>
        <v>1.971874462599941E-11</v>
      </c>
      <c r="U112" s="15">
        <f>L112*Rfac</f>
        <v>-0.576288</v>
      </c>
      <c r="V112" s="116"/>
      <c r="W112" s="116"/>
      <c r="X112" s="117"/>
      <c r="Y112" s="117"/>
      <c r="CU112" s="1" t="s">
        <v>75</v>
      </c>
      <c r="CX112" s="2">
        <f t="shared" si="3"/>
        <v>0</v>
      </c>
    </row>
    <row r="113" spans="2:102" ht="25.5">
      <c r="B113" s="49" t="s">
        <v>76</v>
      </c>
      <c r="C113" s="14" t="s">
        <v>1764</v>
      </c>
      <c r="D113" s="95">
        <f>IF(OR(H113="T",H113="C"),S113,H113)</f>
        <v>1.3636366063119997E-11</v>
      </c>
      <c r="E113" s="95">
        <f>IF(H113="C","",K113)</f>
        <v>5.2E-13</v>
      </c>
      <c r="F113" s="96">
        <f>IF(H113="C","",U113)</f>
        <v>-1.947456</v>
      </c>
      <c r="G113" s="96">
        <f>IF(M113=0,"",M113)</f>
      </c>
      <c r="H113" s="39" t="s">
        <v>1859</v>
      </c>
      <c r="K113" s="116">
        <v>5.2E-13</v>
      </c>
      <c r="L113" s="120">
        <v>-980</v>
      </c>
      <c r="M113" s="117">
        <v>0</v>
      </c>
      <c r="N113" s="116"/>
      <c r="O113" s="117"/>
      <c r="P113" s="118"/>
      <c r="Q113" s="117"/>
      <c r="S113" s="40">
        <f>IF(OR(H113="T",H113="C"),T113,IF(H113="F",(V113/(1+(V113/T113)))*Q113^(1/(1+((LOG10(V113/T113)/R113)^2))),IF(H113="S1",T113+V113,IF(H113="S2",T113+(V113/(1+(V113/T114))),""))))</f>
        <v>1.3636366063119997E-11</v>
      </c>
      <c r="T113" s="40">
        <f>K113*EXP(-L113/T$4)*((T$4/300)^M113)</f>
        <v>1.3636366063119997E-11</v>
      </c>
      <c r="U113" s="15">
        <f>L113*Rfac</f>
        <v>-1.947456</v>
      </c>
      <c r="V113" s="116"/>
      <c r="W113" s="116"/>
      <c r="X113" s="117"/>
      <c r="Y113" s="117"/>
      <c r="CU113" s="1" t="s">
        <v>1764</v>
      </c>
      <c r="CX113" s="2">
        <f t="shared" si="3"/>
        <v>0</v>
      </c>
    </row>
    <row r="114" spans="2:102" ht="15">
      <c r="B114" s="49" t="s">
        <v>77</v>
      </c>
      <c r="C114" s="14" t="s">
        <v>78</v>
      </c>
      <c r="D114" s="98" t="str">
        <f>IF(H114="S",CONCATENATE("Same k as rxn ",I114),H114)</f>
        <v>Same k as rxn BR09</v>
      </c>
      <c r="E114" s="98"/>
      <c r="F114" s="98"/>
      <c r="G114" s="99"/>
      <c r="H114" s="39" t="s">
        <v>56</v>
      </c>
      <c r="I114" s="49" t="s">
        <v>48</v>
      </c>
      <c r="K114" s="116" t="s">
        <v>1861</v>
      </c>
      <c r="L114" s="120"/>
      <c r="M114" s="117"/>
      <c r="N114" s="116"/>
      <c r="O114" s="117"/>
      <c r="P114" s="118"/>
      <c r="Q114" s="117"/>
      <c r="S114" s="40">
        <f>IF(OR(H114="T",H114="C"),T114,IF(H114="F",(V114/(1+(V114/T114)))*Q114^(1/(1+((LOG10(V114/T114)/R114)^2))),IF(H114="S1",T114+V114,IF(H114="S2",T114+(V114/(1+(V114/T115))),""))))</f>
      </c>
      <c r="T114" s="116"/>
      <c r="U114" s="117"/>
      <c r="V114" s="116"/>
      <c r="W114" s="116"/>
      <c r="X114" s="117"/>
      <c r="Y114" s="117"/>
      <c r="CU114" s="1" t="s">
        <v>78</v>
      </c>
      <c r="CX114" s="2">
        <f t="shared" si="3"/>
        <v>0</v>
      </c>
    </row>
    <row r="115" spans="2:102" ht="25.5">
      <c r="B115" s="49" t="s">
        <v>79</v>
      </c>
      <c r="C115" s="14" t="s">
        <v>440</v>
      </c>
      <c r="D115" s="95">
        <f>IF(OR(H115="T",H115="C"),S115,H115)</f>
        <v>1.0588980100940058E-11</v>
      </c>
      <c r="E115" s="95">
        <f>IF(H115="C","",K115)</f>
        <v>2E-12</v>
      </c>
      <c r="F115" s="96">
        <f>IF(H115="C","",U115)</f>
        <v>-0.9936</v>
      </c>
      <c r="G115" s="96">
        <f>IF(M115=0,"",M115)</f>
      </c>
      <c r="H115" s="39" t="s">
        <v>1859</v>
      </c>
      <c r="K115" s="116">
        <v>2E-12</v>
      </c>
      <c r="L115" s="120">
        <v>-500</v>
      </c>
      <c r="M115" s="117">
        <v>0</v>
      </c>
      <c r="N115" s="116"/>
      <c r="O115" s="117"/>
      <c r="P115" s="118"/>
      <c r="Q115" s="117"/>
      <c r="S115" s="40">
        <f>IF(OR(H115="T",H115="C"),T115,IF(H115="F",(V115/(1+(V115/T115)))*Q115^(1/(1+((LOG10(V115/T115)/R115)^2))),IF(H115="S1",T115+V115,IF(H115="S2",T115+(V115/(1+(V115/T116))),""))))</f>
        <v>1.0588980100940058E-11</v>
      </c>
      <c r="T115" s="40">
        <f>K115*EXP(-L115/T$4)*((T$4/300)^M115)</f>
        <v>1.0588980100940058E-11</v>
      </c>
      <c r="U115" s="15">
        <f>L115*Rfac</f>
        <v>-0.9936</v>
      </c>
      <c r="V115" s="116"/>
      <c r="W115" s="116"/>
      <c r="X115" s="117"/>
      <c r="Y115" s="117"/>
      <c r="CU115" s="1" t="s">
        <v>80</v>
      </c>
      <c r="CX115" s="2">
        <f t="shared" si="3"/>
        <v>1</v>
      </c>
    </row>
    <row r="116" spans="2:102" ht="15">
      <c r="B116" s="49" t="s">
        <v>81</v>
      </c>
      <c r="C116" s="14" t="s">
        <v>441</v>
      </c>
      <c r="D116" s="95">
        <f>IF(OR(H116="T",H116="C"),S116,H116)</f>
        <v>1.5575296705381804E-11</v>
      </c>
      <c r="E116" s="95">
        <f>IF(H116="C","",K116)</f>
        <v>4.4E-13</v>
      </c>
      <c r="F116" s="96">
        <f>IF(H116="C","",U116)</f>
        <v>-2.126304</v>
      </c>
      <c r="G116" s="96">
        <f>IF(M116=0,"",M116)</f>
      </c>
      <c r="H116" s="39" t="s">
        <v>1859</v>
      </c>
      <c r="K116" s="116">
        <v>4.4E-13</v>
      </c>
      <c r="L116" s="120">
        <v>-1070</v>
      </c>
      <c r="M116" s="117">
        <v>0</v>
      </c>
      <c r="N116" s="116"/>
      <c r="O116" s="117"/>
      <c r="P116" s="118"/>
      <c r="Q116" s="117"/>
      <c r="S116" s="40">
        <f>IF(OR(H116="T",H116="C"),T116,IF(H116="F",(V116/(1+(V116/T116)))*Q116^(1/(1+((LOG10(V116/T116)/R116)^2))),IF(H116="S1",T116+V116,IF(H116="S2",T116+(V116/(1+(V116/#REF!))),""))))</f>
        <v>1.5575296705381804E-11</v>
      </c>
      <c r="T116" s="40">
        <f>K116*EXP(-L116/T$4)*((T$4/300)^M116)</f>
        <v>1.5575296705381804E-11</v>
      </c>
      <c r="U116" s="15">
        <f>L116*Rfac</f>
        <v>-2.126304</v>
      </c>
      <c r="V116" s="116"/>
      <c r="W116" s="116"/>
      <c r="X116" s="117"/>
      <c r="Y116" s="117"/>
      <c r="CU116" s="1" t="s">
        <v>82</v>
      </c>
      <c r="CX116" s="2">
        <f t="shared" si="3"/>
        <v>1</v>
      </c>
    </row>
    <row r="117" spans="2:102" ht="15">
      <c r="B117" s="49" t="s">
        <v>83</v>
      </c>
      <c r="C117" s="14" t="s">
        <v>442</v>
      </c>
      <c r="D117" s="98" t="str">
        <f>IF(H117="S",CONCATENATE("Same k as rxn ",I117),H117)</f>
        <v>Same k as rxn BR25</v>
      </c>
      <c r="E117" s="98"/>
      <c r="F117" s="98"/>
      <c r="G117" s="99"/>
      <c r="H117" s="39" t="s">
        <v>56</v>
      </c>
      <c r="I117" s="49" t="s">
        <v>81</v>
      </c>
      <c r="K117" s="116" t="s">
        <v>1861</v>
      </c>
      <c r="L117" s="120"/>
      <c r="M117" s="117"/>
      <c r="N117" s="116"/>
      <c r="O117" s="117"/>
      <c r="P117" s="118"/>
      <c r="Q117" s="117"/>
      <c r="S117" s="40">
        <f aca="true" t="shared" si="11" ref="S117:S125">IF(OR(H117="T",H117="C"),T117,IF(H117="F",(V117/(1+(V117/T117)))*Q117^(1/(1+((LOG10(V117/T117)/R117)^2))),IF(H117="S1",T117+V117,IF(H117="S2",T117+(V117/(1+(V117/T118))),""))))</f>
      </c>
      <c r="T117" s="116"/>
      <c r="U117" s="117"/>
      <c r="V117" s="116"/>
      <c r="W117" s="116"/>
      <c r="X117" s="117"/>
      <c r="Y117" s="117"/>
      <c r="CU117" s="1" t="s">
        <v>84</v>
      </c>
      <c r="CX117" s="2">
        <f t="shared" si="3"/>
        <v>1</v>
      </c>
    </row>
    <row r="118" spans="2:102" ht="15">
      <c r="B118" s="49" t="s">
        <v>85</v>
      </c>
      <c r="C118" s="14" t="s">
        <v>86</v>
      </c>
      <c r="D118" s="95">
        <f>IF(OR(H118="T",H118="C"),S118,H118)</f>
        <v>1.5354021146363087E-11</v>
      </c>
      <c r="E118" s="95">
        <f>IF(H118="C","",K118)</f>
        <v>2.9E-12</v>
      </c>
      <c r="F118" s="96">
        <f>IF(H118="C","",U118)</f>
        <v>-0.9936</v>
      </c>
      <c r="G118" s="96">
        <f>IF(M118=0,"",M118)</f>
      </c>
      <c r="H118" s="39" t="s">
        <v>1859</v>
      </c>
      <c r="K118" s="116">
        <v>2.9E-12</v>
      </c>
      <c r="L118" s="120">
        <v>-500</v>
      </c>
      <c r="M118" s="117">
        <v>0</v>
      </c>
      <c r="N118" s="116"/>
      <c r="O118" s="117"/>
      <c r="P118" s="118"/>
      <c r="Q118" s="117"/>
      <c r="S118" s="40">
        <f>IF(OR(H118="T",H118="C"),T118,IF(H118="F",(V118/(1+(V118/T118)))*Q118^(1/(1+((LOG10(V118/T118)/R118)^2))),IF(H118="S1",T118+V118,IF(H118="S2",T118+(V118/(1+(V118/#REF!))),""))))</f>
        <v>1.5354021146363087E-11</v>
      </c>
      <c r="T118" s="40">
        <f>K118*EXP(-L118/T$4)*((T$4/300)^M118)</f>
        <v>1.5354021146363087E-11</v>
      </c>
      <c r="U118" s="15">
        <f>L118*Rfac</f>
        <v>-0.9936</v>
      </c>
      <c r="V118" s="116"/>
      <c r="W118" s="116"/>
      <c r="X118" s="117"/>
      <c r="Y118" s="117"/>
      <c r="CU118" s="1" t="s">
        <v>86</v>
      </c>
      <c r="CX118" s="2">
        <f t="shared" si="3"/>
        <v>0</v>
      </c>
    </row>
    <row r="119" spans="2:102" ht="15">
      <c r="B119" s="49" t="s">
        <v>87</v>
      </c>
      <c r="C119" s="14" t="s">
        <v>88</v>
      </c>
      <c r="D119" s="95">
        <f>IF(OR(H119="T",H119="C"),S119,H119)</f>
        <v>1.2140450561133726E-11</v>
      </c>
      <c r="E119" s="95">
        <f>IF(H119="C","",K119)</f>
        <v>1.214041998987502E-11</v>
      </c>
      <c r="F119" s="96">
        <f>IF(H119="C","",U119)</f>
        <v>-1.5012115445307018E-06</v>
      </c>
      <c r="G119" s="96">
        <f>IF(M119=0,"",M119)</f>
        <v>-1.0676730384999173</v>
      </c>
      <c r="H119" s="39" t="s">
        <v>1859</v>
      </c>
      <c r="K119" s="116">
        <v>1.214041998987502E-11</v>
      </c>
      <c r="L119" s="120">
        <v>-0.0007554405920544996</v>
      </c>
      <c r="M119" s="117">
        <v>-1.0676730384999173</v>
      </c>
      <c r="N119" s="116"/>
      <c r="O119" s="117"/>
      <c r="P119" s="118"/>
      <c r="Q119" s="117"/>
      <c r="S119" s="40">
        <f t="shared" si="11"/>
        <v>1.2140450561133726E-11</v>
      </c>
      <c r="T119" s="40">
        <f>K119*EXP(-L119/T$4)*((T$4/300)^M119)</f>
        <v>1.2140450561133726E-11</v>
      </c>
      <c r="U119" s="15">
        <f>L119*Rfac</f>
        <v>-1.5012115445307018E-06</v>
      </c>
      <c r="V119" s="116"/>
      <c r="W119" s="116"/>
      <c r="X119" s="117"/>
      <c r="Y119" s="117"/>
      <c r="CU119" s="1" t="s">
        <v>88</v>
      </c>
      <c r="CX119" s="2">
        <f t="shared" si="3"/>
        <v>0</v>
      </c>
    </row>
    <row r="120" spans="2:102" ht="15">
      <c r="B120" s="49" t="s">
        <v>89</v>
      </c>
      <c r="C120" s="14" t="s">
        <v>90</v>
      </c>
      <c r="D120" s="95">
        <f>IF(OR(H120="T",H120="C"),S120,H120)</f>
        <v>0.0005481017221070449</v>
      </c>
      <c r="E120" s="95">
        <f>IF(H120="C","",K120)</f>
        <v>83000000000000000</v>
      </c>
      <c r="F120" s="96">
        <f>IF(H120="C","",U120)</f>
        <v>27.701568</v>
      </c>
      <c r="G120" s="96">
        <f>IF(M120=0,"",M120)</f>
      </c>
      <c r="H120" s="39" t="s">
        <v>1859</v>
      </c>
      <c r="K120" s="116">
        <v>83000000000000000</v>
      </c>
      <c r="L120" s="120">
        <v>13940</v>
      </c>
      <c r="M120" s="117">
        <v>0</v>
      </c>
      <c r="N120" s="116"/>
      <c r="O120" s="117"/>
      <c r="P120" s="118"/>
      <c r="Q120" s="117"/>
      <c r="S120" s="40">
        <f>IF(OR(H120="T",H120="C"),T120,IF(H120="F",(V120/(1+(V120/T120)))*Q120^(1/(1+((LOG10(V120/T120)/R120)^2))),IF(H120="S1",T120+V120,IF(H120="S2",T120+(V120/(1+(V120/T122))),""))))</f>
        <v>0.0005481017221070449</v>
      </c>
      <c r="T120" s="40">
        <f>K120*EXP(-L120/T$4)*((T$4/300)^M120)</f>
        <v>0.0005481017221070449</v>
      </c>
      <c r="U120" s="15">
        <f>L120*Rfac</f>
        <v>27.701568</v>
      </c>
      <c r="V120" s="116"/>
      <c r="W120" s="116"/>
      <c r="X120" s="117"/>
      <c r="Y120" s="117"/>
      <c r="CU120" s="1" t="s">
        <v>90</v>
      </c>
      <c r="CX120" s="2">
        <f t="shared" si="3"/>
        <v>0</v>
      </c>
    </row>
    <row r="121" spans="2:102" ht="25.5">
      <c r="B121" s="49" t="s">
        <v>91</v>
      </c>
      <c r="C121" s="14" t="s">
        <v>1544</v>
      </c>
      <c r="D121" s="98" t="str">
        <f>IF(H121="P",CONCATENATE("Phot Set= ",I121,IF(J121=0,"",CONCATENATE(", qy= ",TEXT(J121,"0.0e+0")))),H121)</f>
        <v>Phot Set= PAN</v>
      </c>
      <c r="E121" s="98"/>
      <c r="F121" s="98"/>
      <c r="G121" s="99"/>
      <c r="H121" s="39" t="s">
        <v>1856</v>
      </c>
      <c r="I121" s="49" t="s">
        <v>1470</v>
      </c>
      <c r="K121" s="116"/>
      <c r="L121" s="120"/>
      <c r="M121" s="117"/>
      <c r="N121" s="116"/>
      <c r="O121" s="117"/>
      <c r="P121" s="118"/>
      <c r="Q121" s="117"/>
      <c r="S121" s="40"/>
      <c r="T121" s="40"/>
      <c r="U121" s="15"/>
      <c r="V121" s="116"/>
      <c r="W121" s="116"/>
      <c r="X121" s="117"/>
      <c r="Y121" s="117"/>
      <c r="CU121" s="1" t="s">
        <v>1544</v>
      </c>
      <c r="CX121" s="2">
        <f t="shared" si="3"/>
        <v>0</v>
      </c>
    </row>
    <row r="122" spans="2:102" ht="25.5">
      <c r="B122" s="49" t="s">
        <v>93</v>
      </c>
      <c r="C122" s="14" t="s">
        <v>92</v>
      </c>
      <c r="D122" s="95">
        <f>IF(OR(H122="T",H122="C"),S122,H122)</f>
        <v>2.0810150234689525E-11</v>
      </c>
      <c r="E122" s="95">
        <f>IF(H122="C","",K122)</f>
        <v>6.7E-12</v>
      </c>
      <c r="F122" s="96">
        <f>IF(H122="C","",U122)</f>
        <v>-0.675648</v>
      </c>
      <c r="G122" s="96">
        <f>IF(M122=0,"",M122)</f>
      </c>
      <c r="H122" s="39" t="s">
        <v>1859</v>
      </c>
      <c r="K122" s="116">
        <v>6.7E-12</v>
      </c>
      <c r="L122" s="120">
        <v>-340</v>
      </c>
      <c r="M122" s="117">
        <v>0</v>
      </c>
      <c r="N122" s="116"/>
      <c r="O122" s="117"/>
      <c r="P122" s="118"/>
      <c r="Q122" s="117"/>
      <c r="S122" s="40">
        <f t="shared" si="11"/>
        <v>2.0810150234689525E-11</v>
      </c>
      <c r="T122" s="40">
        <f>K122*EXP(-L122/T$4)*((T$4/300)^M122)</f>
        <v>2.0810150234689525E-11</v>
      </c>
      <c r="U122" s="15">
        <f>L122*Rfac</f>
        <v>-0.675648</v>
      </c>
      <c r="V122" s="116"/>
      <c r="W122" s="116"/>
      <c r="X122" s="117"/>
      <c r="Y122" s="117"/>
      <c r="CU122" s="1" t="s">
        <v>92</v>
      </c>
      <c r="CX122" s="2">
        <f t="shared" si="3"/>
        <v>0</v>
      </c>
    </row>
    <row r="123" spans="2:102" ht="25.5">
      <c r="B123" s="49" t="s">
        <v>94</v>
      </c>
      <c r="C123" s="14" t="s">
        <v>1765</v>
      </c>
      <c r="D123" s="98" t="str">
        <f aca="true" t="shared" si="12" ref="D123:D129">IF(H123="S",CONCATENATE("Same k as rxn ",I123),H123)</f>
        <v>Same k as rxn BR22</v>
      </c>
      <c r="E123" s="98"/>
      <c r="F123" s="98"/>
      <c r="G123" s="99"/>
      <c r="H123" s="39" t="s">
        <v>56</v>
      </c>
      <c r="I123" s="49" t="s">
        <v>76</v>
      </c>
      <c r="K123" s="116" t="s">
        <v>1861</v>
      </c>
      <c r="L123" s="120"/>
      <c r="M123" s="117"/>
      <c r="N123" s="116"/>
      <c r="O123" s="117"/>
      <c r="P123" s="118"/>
      <c r="Q123" s="117"/>
      <c r="S123" s="40">
        <f t="shared" si="11"/>
      </c>
      <c r="T123" s="116"/>
      <c r="U123" s="117"/>
      <c r="V123" s="116"/>
      <c r="W123" s="116"/>
      <c r="X123" s="117"/>
      <c r="Y123" s="117"/>
      <c r="CU123" s="1" t="s">
        <v>1765</v>
      </c>
      <c r="CX123" s="2">
        <f t="shared" si="3"/>
        <v>0</v>
      </c>
    </row>
    <row r="124" spans="2:102" ht="25.5">
      <c r="B124" s="49" t="s">
        <v>96</v>
      </c>
      <c r="C124" s="14" t="s">
        <v>95</v>
      </c>
      <c r="D124" s="98" t="str">
        <f t="shared" si="12"/>
        <v>Same k as rxn BR09</v>
      </c>
      <c r="E124" s="98"/>
      <c r="F124" s="98"/>
      <c r="G124" s="99"/>
      <c r="H124" s="39" t="s">
        <v>56</v>
      </c>
      <c r="I124" s="49" t="s">
        <v>48</v>
      </c>
      <c r="K124" s="116"/>
      <c r="L124" s="120"/>
      <c r="M124" s="117"/>
      <c r="N124" s="116"/>
      <c r="O124" s="117"/>
      <c r="P124" s="118"/>
      <c r="Q124" s="117"/>
      <c r="S124" s="40">
        <f t="shared" si="11"/>
      </c>
      <c r="T124" s="116"/>
      <c r="U124" s="117"/>
      <c r="V124" s="116"/>
      <c r="W124" s="116"/>
      <c r="X124" s="117"/>
      <c r="Y124" s="117"/>
      <c r="CU124" s="1" t="s">
        <v>95</v>
      </c>
      <c r="CX124" s="2">
        <f t="shared" si="3"/>
        <v>0</v>
      </c>
    </row>
    <row r="125" spans="2:102" ht="25.5">
      <c r="B125" s="49" t="s">
        <v>98</v>
      </c>
      <c r="C125" s="14" t="s">
        <v>443</v>
      </c>
      <c r="D125" s="98" t="str">
        <f t="shared" si="12"/>
        <v>Same k as rxn BR24</v>
      </c>
      <c r="E125" s="98"/>
      <c r="F125" s="98"/>
      <c r="G125" s="99"/>
      <c r="H125" s="39" t="s">
        <v>56</v>
      </c>
      <c r="I125" s="49" t="s">
        <v>79</v>
      </c>
      <c r="K125" s="116" t="s">
        <v>1861</v>
      </c>
      <c r="L125" s="120"/>
      <c r="M125" s="117"/>
      <c r="N125" s="116"/>
      <c r="O125" s="117"/>
      <c r="P125" s="118"/>
      <c r="Q125" s="117"/>
      <c r="S125" s="40">
        <f t="shared" si="11"/>
      </c>
      <c r="T125" s="116"/>
      <c r="U125" s="117"/>
      <c r="V125" s="116"/>
      <c r="W125" s="116"/>
      <c r="X125" s="117"/>
      <c r="Y125" s="117"/>
      <c r="CU125" s="1" t="s">
        <v>97</v>
      </c>
      <c r="CX125" s="2">
        <f t="shared" si="3"/>
        <v>1</v>
      </c>
    </row>
    <row r="126" spans="2:102" ht="25.5">
      <c r="B126" s="49" t="s">
        <v>100</v>
      </c>
      <c r="C126" s="14" t="s">
        <v>1389</v>
      </c>
      <c r="D126" s="98" t="str">
        <f t="shared" si="12"/>
        <v>Same k as rxn BR25</v>
      </c>
      <c r="E126" s="98"/>
      <c r="F126" s="98"/>
      <c r="G126" s="99"/>
      <c r="H126" s="39" t="s">
        <v>56</v>
      </c>
      <c r="I126" s="49" t="s">
        <v>81</v>
      </c>
      <c r="K126" s="116" t="s">
        <v>1861</v>
      </c>
      <c r="L126" s="120"/>
      <c r="M126" s="117"/>
      <c r="N126" s="116"/>
      <c r="O126" s="117"/>
      <c r="P126" s="118"/>
      <c r="Q126" s="117"/>
      <c r="S126" s="40">
        <f>IF(OR(H126="T",H126="C"),T126,IF(H126="F",(V126/(1+(V126/T126)))*Q126^(1/(1+((LOG10(V126/T126)/R126)^2))),IF(H126="S1",T126+V126,IF(H126="S2",T126+(V126/(1+(V126/#REF!))),""))))</f>
      </c>
      <c r="T126" s="116"/>
      <c r="U126" s="117"/>
      <c r="V126" s="116"/>
      <c r="W126" s="116"/>
      <c r="X126" s="117"/>
      <c r="Y126" s="117"/>
      <c r="CU126" s="1" t="s">
        <v>99</v>
      </c>
      <c r="CX126" s="2">
        <f t="shared" si="3"/>
        <v>1</v>
      </c>
    </row>
    <row r="127" spans="2:102" ht="25.5">
      <c r="B127" s="49" t="s">
        <v>102</v>
      </c>
      <c r="C127" s="14" t="s">
        <v>1390</v>
      </c>
      <c r="D127" s="98" t="str">
        <f t="shared" si="12"/>
        <v>Same k as rxn BR25</v>
      </c>
      <c r="E127" s="98"/>
      <c r="F127" s="98"/>
      <c r="G127" s="99"/>
      <c r="H127" s="39" t="s">
        <v>56</v>
      </c>
      <c r="I127" s="49" t="s">
        <v>81</v>
      </c>
      <c r="K127" s="116" t="s">
        <v>1861</v>
      </c>
      <c r="L127" s="120"/>
      <c r="M127" s="117"/>
      <c r="N127" s="116"/>
      <c r="O127" s="117"/>
      <c r="P127" s="118"/>
      <c r="Q127" s="117"/>
      <c r="S127" s="40">
        <f aca="true" t="shared" si="13" ref="S127:S136">IF(OR(H127="T",H127="C"),T127,IF(H127="F",(V127/(1+(V127/T127)))*Q127^(1/(1+((LOG10(V127/T127)/R127)^2))),IF(H127="S1",T127+V127,IF(H127="S2",T127+(V127/(1+(V127/T128))),""))))</f>
      </c>
      <c r="T127" s="116"/>
      <c r="U127" s="117"/>
      <c r="V127" s="116"/>
      <c r="W127" s="116"/>
      <c r="X127" s="117"/>
      <c r="Y127" s="117"/>
      <c r="CU127" s="1" t="s">
        <v>101</v>
      </c>
      <c r="CX127" s="2">
        <f t="shared" si="3"/>
        <v>1</v>
      </c>
    </row>
    <row r="128" spans="2:102" ht="25.5">
      <c r="B128" s="49" t="s">
        <v>104</v>
      </c>
      <c r="C128" s="14" t="s">
        <v>103</v>
      </c>
      <c r="D128" s="98" t="str">
        <f t="shared" si="12"/>
        <v>Same k as rxn BR27</v>
      </c>
      <c r="E128" s="98"/>
      <c r="F128" s="98"/>
      <c r="G128" s="99"/>
      <c r="H128" s="39" t="s">
        <v>56</v>
      </c>
      <c r="I128" s="49" t="s">
        <v>85</v>
      </c>
      <c r="K128" s="116" t="s">
        <v>1861</v>
      </c>
      <c r="L128" s="120"/>
      <c r="M128" s="117"/>
      <c r="N128" s="116"/>
      <c r="O128" s="117"/>
      <c r="P128" s="118"/>
      <c r="Q128" s="117"/>
      <c r="S128" s="40">
        <f t="shared" si="13"/>
      </c>
      <c r="T128" s="116"/>
      <c r="U128" s="117"/>
      <c r="V128" s="116"/>
      <c r="W128" s="116"/>
      <c r="X128" s="117"/>
      <c r="Y128" s="117"/>
      <c r="CU128" s="1" t="s">
        <v>103</v>
      </c>
      <c r="CX128" s="2">
        <f t="shared" si="3"/>
        <v>0</v>
      </c>
    </row>
    <row r="129" spans="2:102" ht="25.5">
      <c r="B129" s="49" t="s">
        <v>106</v>
      </c>
      <c r="C129" s="14" t="s">
        <v>105</v>
      </c>
      <c r="D129" s="98" t="str">
        <f t="shared" si="12"/>
        <v>Same k as rxn BR27</v>
      </c>
      <c r="E129" s="98"/>
      <c r="F129" s="98"/>
      <c r="G129" s="99"/>
      <c r="H129" s="39" t="s">
        <v>56</v>
      </c>
      <c r="I129" s="49" t="s">
        <v>85</v>
      </c>
      <c r="K129" s="116" t="s">
        <v>1861</v>
      </c>
      <c r="L129" s="120"/>
      <c r="M129" s="117"/>
      <c r="N129" s="116"/>
      <c r="O129" s="117"/>
      <c r="P129" s="118"/>
      <c r="Q129" s="117"/>
      <c r="S129" s="40">
        <f>IF(OR(H129="T",H129="C"),T129,IF(H129="F",(V129/(1+(V129/T129)))*Q129^(1/(1+((LOG10(V129/T129)/R129)^2))),IF(H129="S1",T129+V129,IF(H129="S2",T129+(V129/(1+(V129/#REF!))),""))))</f>
      </c>
      <c r="T129" s="116"/>
      <c r="U129" s="117"/>
      <c r="V129" s="116"/>
      <c r="W129" s="116"/>
      <c r="X129" s="117"/>
      <c r="Y129" s="117"/>
      <c r="CU129" s="1" t="s">
        <v>105</v>
      </c>
      <c r="CX129" s="2">
        <f t="shared" si="3"/>
        <v>0</v>
      </c>
    </row>
    <row r="130" spans="2:102" ht="15">
      <c r="B130" s="49" t="s">
        <v>108</v>
      </c>
      <c r="C130" s="14" t="s">
        <v>107</v>
      </c>
      <c r="D130" s="95">
        <f>IF(OR(H130="T",H130="C"),S130,H130)</f>
        <v>1.37E-11</v>
      </c>
      <c r="E130" s="95">
        <f>IF(H130="C","",K130)</f>
      </c>
      <c r="F130" s="96">
        <f>IF(H130="C","",U130)</f>
      </c>
      <c r="G130" s="96">
        <f>IF(M130=0,"",M130)</f>
      </c>
      <c r="H130" s="39" t="s">
        <v>1851</v>
      </c>
      <c r="K130" s="116">
        <v>1.37E-11</v>
      </c>
      <c r="L130" s="120"/>
      <c r="M130" s="117"/>
      <c r="N130" s="116"/>
      <c r="O130" s="117"/>
      <c r="P130" s="118"/>
      <c r="Q130" s="117"/>
      <c r="S130" s="40">
        <f t="shared" si="13"/>
        <v>1.37E-11</v>
      </c>
      <c r="T130" s="40">
        <f>K130*EXP(-L130/T$4)*((T$4/300)^M130)</f>
        <v>1.37E-11</v>
      </c>
      <c r="U130" s="117"/>
      <c r="V130" s="116"/>
      <c r="W130" s="116"/>
      <c r="X130" s="117"/>
      <c r="Y130" s="117"/>
      <c r="CU130" s="1" t="s">
        <v>107</v>
      </c>
      <c r="CX130" s="2">
        <f t="shared" si="3"/>
        <v>0</v>
      </c>
    </row>
    <row r="131" spans="2:102" ht="15">
      <c r="B131" s="49" t="s">
        <v>110</v>
      </c>
      <c r="C131" s="14" t="s">
        <v>109</v>
      </c>
      <c r="D131" s="95">
        <f>IF(OR(H131="T",H131="C"),S131,H131)</f>
        <v>0.00042712133880264195</v>
      </c>
      <c r="E131" s="95">
        <f>IF(H131="C","",K131)</f>
        <v>79000000000000000</v>
      </c>
      <c r="F131" s="96">
        <f>IF(H131="C","",U131)</f>
        <v>27.820800000000002</v>
      </c>
      <c r="G131" s="96">
        <f>IF(M131=0,"",M131)</f>
      </c>
      <c r="H131" s="39" t="s">
        <v>1859</v>
      </c>
      <c r="K131" s="116">
        <v>79000000000000000</v>
      </c>
      <c r="L131" s="120">
        <v>14000</v>
      </c>
      <c r="M131" s="117">
        <v>0</v>
      </c>
      <c r="N131" s="116"/>
      <c r="O131" s="117"/>
      <c r="P131" s="118"/>
      <c r="Q131" s="117"/>
      <c r="S131" s="40">
        <f>IF(OR(H131="T",H131="C"),T131,IF(H131="F",(V131/(1+(V131/T131)))*Q131^(1/(1+((LOG10(V131/T131)/R131)^2))),IF(H131="S1",T131+V131,IF(H131="S2",T131+(V131/(1+(V131/T133))),""))))</f>
        <v>0.00042712133880264195</v>
      </c>
      <c r="T131" s="40">
        <f>K131*EXP(-L131/T$4)*((T$4/300)^M131)</f>
        <v>0.00042712133880264195</v>
      </c>
      <c r="U131" s="15">
        <f>L131*Rfac</f>
        <v>27.820800000000002</v>
      </c>
      <c r="V131" s="116"/>
      <c r="W131" s="116"/>
      <c r="X131" s="117"/>
      <c r="Y131" s="117"/>
      <c r="CU131" s="1" t="s">
        <v>109</v>
      </c>
      <c r="CX131" s="2">
        <f t="shared" si="3"/>
        <v>0</v>
      </c>
    </row>
    <row r="132" spans="2:102" ht="25.5">
      <c r="B132" s="49" t="s">
        <v>112</v>
      </c>
      <c r="C132" s="14" t="s">
        <v>1545</v>
      </c>
      <c r="D132" s="98" t="str">
        <f>IF(H132="P",CONCATENATE("Phot Set= ",I132,IF(J132=0,"",CONCATENATE(", qy= ",TEXT(J132,"0.0e+0")))),H132)</f>
        <v>Phot Set= PAN</v>
      </c>
      <c r="E132" s="98"/>
      <c r="F132" s="98"/>
      <c r="G132" s="99"/>
      <c r="H132" s="39" t="s">
        <v>1856</v>
      </c>
      <c r="I132" s="49" t="s">
        <v>1470</v>
      </c>
      <c r="K132" s="116"/>
      <c r="L132" s="120"/>
      <c r="M132" s="117"/>
      <c r="N132" s="116"/>
      <c r="O132" s="117"/>
      <c r="P132" s="118"/>
      <c r="Q132" s="117"/>
      <c r="S132" s="40"/>
      <c r="T132" s="40"/>
      <c r="U132" s="15"/>
      <c r="V132" s="116"/>
      <c r="W132" s="116"/>
      <c r="X132" s="117"/>
      <c r="Y132" s="117"/>
      <c r="CU132" s="1" t="s">
        <v>1545</v>
      </c>
      <c r="CX132" s="2">
        <f t="shared" si="3"/>
        <v>0</v>
      </c>
    </row>
    <row r="133" spans="2:102" ht="15">
      <c r="B133" s="49" t="s">
        <v>113</v>
      </c>
      <c r="C133" s="14" t="s">
        <v>111</v>
      </c>
      <c r="D133" s="98" t="str">
        <f aca="true" t="shared" si="14" ref="D133:D141">IF(H133="S",CONCATENATE("Same k as rxn ",I133),H133)</f>
        <v>Same k as rxn BR31</v>
      </c>
      <c r="E133" s="98"/>
      <c r="F133" s="98"/>
      <c r="G133" s="99"/>
      <c r="H133" s="39" t="s">
        <v>56</v>
      </c>
      <c r="I133" s="49" t="s">
        <v>93</v>
      </c>
      <c r="K133" s="116" t="s">
        <v>1861</v>
      </c>
      <c r="L133" s="120"/>
      <c r="M133" s="117"/>
      <c r="N133" s="116"/>
      <c r="O133" s="117"/>
      <c r="P133" s="118"/>
      <c r="Q133" s="117"/>
      <c r="S133" s="40">
        <f t="shared" si="13"/>
      </c>
      <c r="T133" s="116"/>
      <c r="U133" s="117"/>
      <c r="V133" s="116"/>
      <c r="W133" s="116"/>
      <c r="X133" s="117"/>
      <c r="Y133" s="117"/>
      <c r="CU133" s="1" t="s">
        <v>111</v>
      </c>
      <c r="CX133" s="2">
        <f t="shared" si="3"/>
        <v>0</v>
      </c>
    </row>
    <row r="134" spans="2:102" ht="25.5">
      <c r="B134" s="49" t="s">
        <v>115</v>
      </c>
      <c r="C134" s="14" t="s">
        <v>1766</v>
      </c>
      <c r="D134" s="98" t="str">
        <f t="shared" si="14"/>
        <v>Same k as rxn BR22</v>
      </c>
      <c r="E134" s="98"/>
      <c r="F134" s="98"/>
      <c r="G134" s="99"/>
      <c r="H134" s="39" t="s">
        <v>56</v>
      </c>
      <c r="I134" s="49" t="s">
        <v>76</v>
      </c>
      <c r="K134" s="116" t="s">
        <v>1861</v>
      </c>
      <c r="L134" s="120"/>
      <c r="M134" s="117"/>
      <c r="N134" s="116"/>
      <c r="O134" s="117"/>
      <c r="P134" s="118"/>
      <c r="Q134" s="117"/>
      <c r="S134" s="40">
        <f t="shared" si="13"/>
      </c>
      <c r="T134" s="116"/>
      <c r="U134" s="117"/>
      <c r="V134" s="116"/>
      <c r="W134" s="116"/>
      <c r="X134" s="117"/>
      <c r="Y134" s="117"/>
      <c r="CU134" s="1" t="s">
        <v>1766</v>
      </c>
      <c r="CX134" s="2">
        <f t="shared" si="3"/>
        <v>0</v>
      </c>
    </row>
    <row r="135" spans="2:102" ht="25.5">
      <c r="B135" s="49" t="s">
        <v>117</v>
      </c>
      <c r="C135" s="14" t="s">
        <v>114</v>
      </c>
      <c r="D135" s="98" t="str">
        <f t="shared" si="14"/>
        <v>Same k as rxn BR09</v>
      </c>
      <c r="E135" s="98"/>
      <c r="F135" s="98"/>
      <c r="G135" s="99"/>
      <c r="H135" s="39" t="s">
        <v>56</v>
      </c>
      <c r="I135" s="49" t="s">
        <v>48</v>
      </c>
      <c r="K135" s="116"/>
      <c r="L135" s="120"/>
      <c r="M135" s="117"/>
      <c r="N135" s="116"/>
      <c r="O135" s="117"/>
      <c r="P135" s="118"/>
      <c r="Q135" s="117"/>
      <c r="S135" s="40">
        <f t="shared" si="13"/>
      </c>
      <c r="T135" s="116"/>
      <c r="U135" s="117"/>
      <c r="V135" s="116"/>
      <c r="W135" s="116"/>
      <c r="X135" s="117"/>
      <c r="Y135" s="117"/>
      <c r="CU135" s="1" t="s">
        <v>114</v>
      </c>
      <c r="CX135" s="2">
        <f aca="true" t="shared" si="15" ref="CX135:CX198">IF(CU135=C135,0,1)</f>
        <v>0</v>
      </c>
    </row>
    <row r="136" spans="2:102" ht="25.5">
      <c r="B136" s="49" t="s">
        <v>119</v>
      </c>
      <c r="C136" s="14" t="s">
        <v>444</v>
      </c>
      <c r="D136" s="98" t="str">
        <f t="shared" si="14"/>
        <v>Same k as rxn BR24</v>
      </c>
      <c r="E136" s="98"/>
      <c r="F136" s="98"/>
      <c r="G136" s="99"/>
      <c r="H136" s="39" t="s">
        <v>56</v>
      </c>
      <c r="I136" s="49" t="s">
        <v>79</v>
      </c>
      <c r="K136" s="116" t="s">
        <v>1861</v>
      </c>
      <c r="L136" s="120"/>
      <c r="M136" s="117"/>
      <c r="N136" s="116"/>
      <c r="O136" s="117"/>
      <c r="P136" s="118"/>
      <c r="Q136" s="117"/>
      <c r="S136" s="40">
        <f t="shared" si="13"/>
      </c>
      <c r="T136" s="116"/>
      <c r="U136" s="117"/>
      <c r="V136" s="116"/>
      <c r="W136" s="116"/>
      <c r="X136" s="117"/>
      <c r="Y136" s="117"/>
      <c r="CU136" s="1" t="s">
        <v>116</v>
      </c>
      <c r="CX136" s="2">
        <f t="shared" si="15"/>
        <v>1</v>
      </c>
    </row>
    <row r="137" spans="2:102" ht="15">
      <c r="B137" s="49" t="s">
        <v>121</v>
      </c>
      <c r="C137" s="14" t="s">
        <v>445</v>
      </c>
      <c r="D137" s="98" t="str">
        <f t="shared" si="14"/>
        <v>Same k as rxn BR25</v>
      </c>
      <c r="E137" s="98"/>
      <c r="F137" s="98"/>
      <c r="G137" s="99"/>
      <c r="H137" s="39" t="s">
        <v>56</v>
      </c>
      <c r="I137" s="49" t="s">
        <v>81</v>
      </c>
      <c r="K137" s="116" t="s">
        <v>1861</v>
      </c>
      <c r="L137" s="120"/>
      <c r="M137" s="117"/>
      <c r="N137" s="116"/>
      <c r="O137" s="117"/>
      <c r="P137" s="118"/>
      <c r="Q137" s="117"/>
      <c r="S137" s="40">
        <f>IF(OR(H137="T",H137="C"),T137,IF(H137="F",(V137/(1+(V137/T137)))*Q137^(1/(1+((LOG10(V137/T137)/R137)^2))),IF(H137="S1",T137+V137,IF(H137="S2",T137+(V137/(1+(V137/#REF!))),""))))</f>
      </c>
      <c r="T137" s="116"/>
      <c r="U137" s="117"/>
      <c r="V137" s="116"/>
      <c r="W137" s="116"/>
      <c r="X137" s="117"/>
      <c r="Y137" s="117"/>
      <c r="CU137" s="1" t="s">
        <v>118</v>
      </c>
      <c r="CX137" s="2">
        <f t="shared" si="15"/>
        <v>1</v>
      </c>
    </row>
    <row r="138" spans="2:102" ht="15">
      <c r="B138" s="49" t="s">
        <v>123</v>
      </c>
      <c r="C138" s="14" t="s">
        <v>446</v>
      </c>
      <c r="D138" s="98" t="str">
        <f t="shared" si="14"/>
        <v>Same k as rxn BR25</v>
      </c>
      <c r="E138" s="98"/>
      <c r="F138" s="98"/>
      <c r="G138" s="99"/>
      <c r="H138" s="39" t="s">
        <v>56</v>
      </c>
      <c r="I138" s="49" t="s">
        <v>81</v>
      </c>
      <c r="K138" s="116" t="s">
        <v>1861</v>
      </c>
      <c r="L138" s="120"/>
      <c r="M138" s="117"/>
      <c r="N138" s="116"/>
      <c r="O138" s="117"/>
      <c r="P138" s="118"/>
      <c r="Q138" s="117"/>
      <c r="S138" s="40">
        <f aca="true" t="shared" si="16" ref="S138:S148">IF(OR(H138="T",H138="C"),T138,IF(H138="F",(V138/(1+(V138/T138)))*Q138^(1/(1+((LOG10(V138/T138)/R138)^2))),IF(H138="S1",T138+V138,IF(H138="S2",T138+(V138/(1+(V138/T139))),""))))</f>
      </c>
      <c r="T138" s="116"/>
      <c r="U138" s="117"/>
      <c r="V138" s="116"/>
      <c r="W138" s="116"/>
      <c r="X138" s="117"/>
      <c r="Y138" s="117"/>
      <c r="CU138" s="1" t="s">
        <v>120</v>
      </c>
      <c r="CX138" s="2">
        <f t="shared" si="15"/>
        <v>1</v>
      </c>
    </row>
    <row r="139" spans="2:102" ht="25.5">
      <c r="B139" s="49" t="s">
        <v>125</v>
      </c>
      <c r="C139" s="14" t="s">
        <v>122</v>
      </c>
      <c r="D139" s="98" t="str">
        <f t="shared" si="14"/>
        <v>Same k as rxn BR27</v>
      </c>
      <c r="E139" s="98"/>
      <c r="F139" s="98"/>
      <c r="G139" s="99"/>
      <c r="H139" s="39" t="s">
        <v>56</v>
      </c>
      <c r="I139" s="49" t="s">
        <v>85</v>
      </c>
      <c r="K139" s="116" t="s">
        <v>1861</v>
      </c>
      <c r="L139" s="120"/>
      <c r="M139" s="117"/>
      <c r="N139" s="116"/>
      <c r="O139" s="117"/>
      <c r="P139" s="118"/>
      <c r="Q139" s="117"/>
      <c r="S139" s="40">
        <f t="shared" si="16"/>
      </c>
      <c r="T139" s="116"/>
      <c r="U139" s="117"/>
      <c r="V139" s="116"/>
      <c r="W139" s="116"/>
      <c r="X139" s="117"/>
      <c r="Y139" s="117"/>
      <c r="CU139" s="1" t="s">
        <v>122</v>
      </c>
      <c r="CX139" s="2">
        <f t="shared" si="15"/>
        <v>0</v>
      </c>
    </row>
    <row r="140" spans="2:102" ht="25.5">
      <c r="B140" s="49" t="s">
        <v>127</v>
      </c>
      <c r="C140" s="14" t="s">
        <v>124</v>
      </c>
      <c r="D140" s="98" t="str">
        <f t="shared" si="14"/>
        <v>Same k as rxn BR27</v>
      </c>
      <c r="E140" s="98"/>
      <c r="F140" s="98"/>
      <c r="G140" s="99"/>
      <c r="H140" s="39" t="s">
        <v>56</v>
      </c>
      <c r="I140" s="49" t="s">
        <v>85</v>
      </c>
      <c r="K140" s="116" t="s">
        <v>1861</v>
      </c>
      <c r="L140" s="120"/>
      <c r="M140" s="117"/>
      <c r="N140" s="116"/>
      <c r="O140" s="117"/>
      <c r="P140" s="118"/>
      <c r="Q140" s="117"/>
      <c r="S140" s="40">
        <f t="shared" si="16"/>
      </c>
      <c r="T140" s="116"/>
      <c r="U140" s="117"/>
      <c r="V140" s="116"/>
      <c r="W140" s="116"/>
      <c r="X140" s="117"/>
      <c r="Y140" s="117"/>
      <c r="CU140" s="1" t="s">
        <v>124</v>
      </c>
      <c r="CX140" s="2">
        <f t="shared" si="15"/>
        <v>0</v>
      </c>
    </row>
    <row r="141" spans="2:102" ht="15">
      <c r="B141" s="49" t="s">
        <v>129</v>
      </c>
      <c r="C141" s="14" t="s">
        <v>126</v>
      </c>
      <c r="D141" s="98" t="str">
        <f t="shared" si="14"/>
        <v>Same k as rxn BR27</v>
      </c>
      <c r="E141" s="98"/>
      <c r="F141" s="98"/>
      <c r="G141" s="99"/>
      <c r="H141" s="39" t="s">
        <v>56</v>
      </c>
      <c r="I141" s="49" t="s">
        <v>85</v>
      </c>
      <c r="K141" s="116" t="s">
        <v>1861</v>
      </c>
      <c r="L141" s="120"/>
      <c r="M141" s="117"/>
      <c r="N141" s="116"/>
      <c r="O141" s="117"/>
      <c r="P141" s="118"/>
      <c r="Q141" s="117"/>
      <c r="S141" s="40">
        <f>IF(OR(H141="T",H141="C"),T141,IF(H141="F",(V141/(1+(V141/T141)))*Q141^(1/(1+((LOG10(V141/T141)/R141)^2))),IF(H141="S1",T141+V141,IF(H141="S2",T141+(V141/(1+(V141/#REF!))),""))))</f>
      </c>
      <c r="T141" s="116"/>
      <c r="U141" s="117"/>
      <c r="V141" s="116"/>
      <c r="W141" s="116"/>
      <c r="X141" s="117"/>
      <c r="Y141" s="117"/>
      <c r="CU141" s="1" t="s">
        <v>126</v>
      </c>
      <c r="CX141" s="2">
        <f t="shared" si="15"/>
        <v>0</v>
      </c>
    </row>
    <row r="142" spans="2:102" ht="15">
      <c r="B142" s="49" t="s">
        <v>131</v>
      </c>
      <c r="C142" s="14" t="s">
        <v>128</v>
      </c>
      <c r="D142" s="98" t="str">
        <f>IF(H142="S",CONCATENATE("Same k as rxn ",I142),H142)</f>
        <v>Same k as rxn BR28</v>
      </c>
      <c r="E142" s="98"/>
      <c r="F142" s="98"/>
      <c r="G142" s="99"/>
      <c r="H142" s="39" t="s">
        <v>56</v>
      </c>
      <c r="I142" s="49" t="s">
        <v>87</v>
      </c>
      <c r="K142" s="116"/>
      <c r="L142" s="120"/>
      <c r="M142" s="117"/>
      <c r="N142" s="116"/>
      <c r="O142" s="117"/>
      <c r="P142" s="118"/>
      <c r="Q142" s="117"/>
      <c r="S142" s="40">
        <f t="shared" si="16"/>
      </c>
      <c r="T142" s="116"/>
      <c r="U142" s="117"/>
      <c r="V142" s="116"/>
      <c r="W142" s="116"/>
      <c r="X142" s="117"/>
      <c r="Y142" s="117"/>
      <c r="CU142" s="1" t="s">
        <v>128</v>
      </c>
      <c r="CX142" s="2">
        <f t="shared" si="15"/>
        <v>0</v>
      </c>
    </row>
    <row r="143" spans="2:102" ht="15">
      <c r="B143" s="49" t="s">
        <v>133</v>
      </c>
      <c r="C143" s="14" t="s">
        <v>130</v>
      </c>
      <c r="D143" s="95">
        <f>IF(OR(H143="T",H143="C"),S143,H143)</f>
        <v>0.0004793835513945676</v>
      </c>
      <c r="E143" s="95">
        <f>IF(H143="C","",K143)</f>
        <v>16000000000000000</v>
      </c>
      <c r="F143" s="96">
        <f>IF(H143="C","",U143)</f>
        <v>26.8</v>
      </c>
      <c r="G143" s="96">
        <f>IF(M143=0,"",M143)</f>
      </c>
      <c r="H143" s="39" t="s">
        <v>1859</v>
      </c>
      <c r="K143" s="116">
        <v>16000000000000000</v>
      </c>
      <c r="L143" s="41">
        <v>13486.312399355877</v>
      </c>
      <c r="M143" s="117">
        <v>0</v>
      </c>
      <c r="N143" s="116"/>
      <c r="O143" s="117"/>
      <c r="P143" s="118"/>
      <c r="Q143" s="117"/>
      <c r="S143" s="40">
        <f>IF(OR(H143="T",H143="C"),T143,IF(H143="F",(V143/(1+(V143/T143)))*Q143^(1/(1+((LOG10(V143/T143)/R143)^2))),IF(H143="S1",T143+V143,IF(H143="S2",T143+(V143/(1+(V143/T145))),""))))</f>
        <v>0.0004793835513945676</v>
      </c>
      <c r="T143" s="40">
        <f>K143*EXP(-L143/T$4)*((T$4/300)^M143)</f>
        <v>0.0004793835513945676</v>
      </c>
      <c r="U143" s="15">
        <f>L143*Rfac</f>
        <v>26.8</v>
      </c>
      <c r="V143" s="116"/>
      <c r="W143" s="116"/>
      <c r="X143" s="117"/>
      <c r="Y143" s="117"/>
      <c r="CU143" s="1" t="s">
        <v>130</v>
      </c>
      <c r="CX143" s="2">
        <f t="shared" si="15"/>
        <v>0</v>
      </c>
    </row>
    <row r="144" spans="2:102" ht="25.5">
      <c r="B144" s="49" t="s">
        <v>134</v>
      </c>
      <c r="C144" s="14" t="s">
        <v>1546</v>
      </c>
      <c r="D144" s="98" t="str">
        <f>IF(H144="P",CONCATENATE("Phot Set= ",I144,IF(J144=0,"",CONCATENATE(", qy= ",TEXT(J144,"0.0e+0")))),H144)</f>
        <v>Phot Set= PAN</v>
      </c>
      <c r="E144" s="98"/>
      <c r="F144" s="98"/>
      <c r="G144" s="99"/>
      <c r="H144" s="39" t="s">
        <v>1856</v>
      </c>
      <c r="I144" s="49" t="s">
        <v>1470</v>
      </c>
      <c r="K144" s="116"/>
      <c r="M144" s="117"/>
      <c r="N144" s="116"/>
      <c r="O144" s="117"/>
      <c r="P144" s="118"/>
      <c r="Q144" s="117"/>
      <c r="S144" s="40"/>
      <c r="T144" s="40"/>
      <c r="U144" s="15"/>
      <c r="V144" s="116"/>
      <c r="W144" s="116"/>
      <c r="X144" s="117"/>
      <c r="Y144" s="117"/>
      <c r="CU144" s="1" t="s">
        <v>1546</v>
      </c>
      <c r="CX144" s="2">
        <f t="shared" si="15"/>
        <v>0</v>
      </c>
    </row>
    <row r="145" spans="2:102" ht="25.5">
      <c r="B145" s="49" t="s">
        <v>136</v>
      </c>
      <c r="C145" s="14" t="s">
        <v>132</v>
      </c>
      <c r="D145" s="98" t="str">
        <f aca="true" t="shared" si="17" ref="D145:D154">IF(H145="S",CONCATENATE("Same k as rxn ",I145),H145)</f>
        <v>Same k as rxn BR31</v>
      </c>
      <c r="E145" s="98"/>
      <c r="F145" s="98"/>
      <c r="G145" s="99"/>
      <c r="H145" s="39" t="s">
        <v>56</v>
      </c>
      <c r="I145" s="49" t="s">
        <v>93</v>
      </c>
      <c r="K145" s="116"/>
      <c r="L145" s="120"/>
      <c r="M145" s="117"/>
      <c r="N145" s="116"/>
      <c r="O145" s="117"/>
      <c r="P145" s="118"/>
      <c r="Q145" s="117"/>
      <c r="S145" s="40">
        <f t="shared" si="16"/>
      </c>
      <c r="T145" s="116"/>
      <c r="U145" s="117"/>
      <c r="V145" s="116"/>
      <c r="W145" s="116"/>
      <c r="X145" s="117"/>
      <c r="Y145" s="117"/>
      <c r="CU145" s="1" t="s">
        <v>132</v>
      </c>
      <c r="CX145" s="2">
        <f t="shared" si="15"/>
        <v>0</v>
      </c>
    </row>
    <row r="146" spans="2:102" ht="25.5">
      <c r="B146" s="49" t="s">
        <v>138</v>
      </c>
      <c r="C146" s="14" t="s">
        <v>1767</v>
      </c>
      <c r="D146" s="98" t="str">
        <f t="shared" si="17"/>
        <v>Same k as rxn BR22</v>
      </c>
      <c r="E146" s="98"/>
      <c r="F146" s="98"/>
      <c r="G146" s="99"/>
      <c r="H146" s="39" t="s">
        <v>56</v>
      </c>
      <c r="I146" s="49" t="s">
        <v>76</v>
      </c>
      <c r="K146" s="116"/>
      <c r="L146" s="120"/>
      <c r="M146" s="117"/>
      <c r="N146" s="116"/>
      <c r="O146" s="117"/>
      <c r="P146" s="118"/>
      <c r="Q146" s="117"/>
      <c r="S146" s="40">
        <f t="shared" si="16"/>
      </c>
      <c r="T146" s="116"/>
      <c r="U146" s="117"/>
      <c r="V146" s="116"/>
      <c r="W146" s="116"/>
      <c r="X146" s="117"/>
      <c r="Y146" s="117"/>
      <c r="CU146" s="1" t="s">
        <v>1767</v>
      </c>
      <c r="CX146" s="2">
        <f t="shared" si="15"/>
        <v>0</v>
      </c>
    </row>
    <row r="147" spans="2:102" ht="25.5">
      <c r="B147" s="49" t="s">
        <v>140</v>
      </c>
      <c r="C147" s="14" t="s">
        <v>135</v>
      </c>
      <c r="D147" s="98" t="str">
        <f t="shared" si="17"/>
        <v>Same k as rxn BR09</v>
      </c>
      <c r="E147" s="98"/>
      <c r="F147" s="98"/>
      <c r="G147" s="99"/>
      <c r="H147" s="39" t="s">
        <v>56</v>
      </c>
      <c r="I147" s="49" t="s">
        <v>48</v>
      </c>
      <c r="K147" s="116"/>
      <c r="L147" s="120"/>
      <c r="M147" s="117"/>
      <c r="N147" s="116"/>
      <c r="O147" s="117"/>
      <c r="P147" s="118"/>
      <c r="Q147" s="117"/>
      <c r="S147" s="40">
        <f t="shared" si="16"/>
      </c>
      <c r="T147" s="116"/>
      <c r="U147" s="117"/>
      <c r="V147" s="116"/>
      <c r="W147" s="116"/>
      <c r="X147" s="117"/>
      <c r="Y147" s="117"/>
      <c r="CU147" s="1" t="s">
        <v>135</v>
      </c>
      <c r="CX147" s="2">
        <f t="shared" si="15"/>
        <v>0</v>
      </c>
    </row>
    <row r="148" spans="2:102" ht="25.5">
      <c r="B148" s="49" t="s">
        <v>142</v>
      </c>
      <c r="C148" s="14" t="s">
        <v>447</v>
      </c>
      <c r="D148" s="98" t="str">
        <f t="shared" si="17"/>
        <v>Same k as rxn BR24</v>
      </c>
      <c r="E148" s="98"/>
      <c r="F148" s="98"/>
      <c r="G148" s="99"/>
      <c r="H148" s="39" t="s">
        <v>56</v>
      </c>
      <c r="I148" s="49" t="s">
        <v>79</v>
      </c>
      <c r="K148" s="116"/>
      <c r="L148" s="120"/>
      <c r="M148" s="117"/>
      <c r="N148" s="116"/>
      <c r="O148" s="117"/>
      <c r="P148" s="118"/>
      <c r="Q148" s="117"/>
      <c r="S148" s="40">
        <f t="shared" si="16"/>
      </c>
      <c r="T148" s="116"/>
      <c r="U148" s="117"/>
      <c r="V148" s="116"/>
      <c r="W148" s="116"/>
      <c r="X148" s="117"/>
      <c r="Y148" s="117"/>
      <c r="CU148" s="1" t="s">
        <v>137</v>
      </c>
      <c r="CX148" s="2">
        <f t="shared" si="15"/>
        <v>1</v>
      </c>
    </row>
    <row r="149" spans="2:102" ht="15">
      <c r="B149" s="49" t="s">
        <v>144</v>
      </c>
      <c r="C149" s="14" t="s">
        <v>448</v>
      </c>
      <c r="D149" s="98" t="str">
        <f t="shared" si="17"/>
        <v>Same k as rxn BR25</v>
      </c>
      <c r="E149" s="98"/>
      <c r="F149" s="98"/>
      <c r="G149" s="99"/>
      <c r="H149" s="39" t="s">
        <v>56</v>
      </c>
      <c r="I149" s="49" t="s">
        <v>81</v>
      </c>
      <c r="K149" s="116"/>
      <c r="L149" s="120"/>
      <c r="M149" s="117"/>
      <c r="N149" s="116"/>
      <c r="O149" s="117"/>
      <c r="P149" s="118"/>
      <c r="Q149" s="117"/>
      <c r="S149" s="40">
        <f>IF(OR(H149="T",H149="C"),T149,IF(H149="F",(V149/(1+(V149/T149)))*Q149^(1/(1+((LOG10(V149/T149)/R149)^2))),IF(H149="S1",T149+V149,IF(H149="S2",T149+(V149/(1+(V149/#REF!))),""))))</f>
      </c>
      <c r="T149" s="116"/>
      <c r="U149" s="117"/>
      <c r="V149" s="116"/>
      <c r="W149" s="116"/>
      <c r="X149" s="117"/>
      <c r="Y149" s="117"/>
      <c r="CU149" s="1" t="s">
        <v>139</v>
      </c>
      <c r="CX149" s="2">
        <f t="shared" si="15"/>
        <v>1</v>
      </c>
    </row>
    <row r="150" spans="2:102" ht="15">
      <c r="B150" s="49" t="s">
        <v>146</v>
      </c>
      <c r="C150" s="14" t="s">
        <v>449</v>
      </c>
      <c r="D150" s="98" t="str">
        <f t="shared" si="17"/>
        <v>Same k as rxn BR25</v>
      </c>
      <c r="E150" s="98"/>
      <c r="F150" s="98"/>
      <c r="G150" s="99"/>
      <c r="H150" s="39" t="s">
        <v>56</v>
      </c>
      <c r="I150" s="49" t="s">
        <v>81</v>
      </c>
      <c r="K150" s="116"/>
      <c r="L150" s="120"/>
      <c r="M150" s="117"/>
      <c r="N150" s="116"/>
      <c r="O150" s="117"/>
      <c r="P150" s="118"/>
      <c r="Q150" s="117"/>
      <c r="S150" s="40">
        <f aca="true" t="shared" si="18" ref="S150:S159">IF(OR(H150="T",H150="C"),T150,IF(H150="F",(V150/(1+(V150/T150)))*Q150^(1/(1+((LOG10(V150/T150)/R150)^2))),IF(H150="S1",T150+V150,IF(H150="S2",T150+(V150/(1+(V150/T151))),""))))</f>
      </c>
      <c r="T150" s="116"/>
      <c r="U150" s="117"/>
      <c r="V150" s="116"/>
      <c r="W150" s="116"/>
      <c r="X150" s="117"/>
      <c r="Y150" s="117"/>
      <c r="CU150" s="1" t="s">
        <v>141</v>
      </c>
      <c r="CX150" s="2">
        <f t="shared" si="15"/>
        <v>1</v>
      </c>
    </row>
    <row r="151" spans="2:102" ht="25.5">
      <c r="B151" s="49" t="s">
        <v>148</v>
      </c>
      <c r="C151" s="14" t="s">
        <v>143</v>
      </c>
      <c r="D151" s="98" t="str">
        <f t="shared" si="17"/>
        <v>Same k as rxn BR27</v>
      </c>
      <c r="E151" s="98"/>
      <c r="F151" s="98"/>
      <c r="G151" s="99"/>
      <c r="H151" s="39" t="s">
        <v>56</v>
      </c>
      <c r="I151" s="49" t="s">
        <v>85</v>
      </c>
      <c r="K151" s="116"/>
      <c r="L151" s="120"/>
      <c r="M151" s="117"/>
      <c r="N151" s="116"/>
      <c r="O151" s="117"/>
      <c r="P151" s="118"/>
      <c r="Q151" s="117"/>
      <c r="S151" s="40">
        <f t="shared" si="18"/>
      </c>
      <c r="T151" s="116"/>
      <c r="U151" s="117"/>
      <c r="V151" s="116"/>
      <c r="W151" s="116"/>
      <c r="X151" s="117"/>
      <c r="Y151" s="117"/>
      <c r="CU151" s="1" t="s">
        <v>143</v>
      </c>
      <c r="CX151" s="2">
        <f t="shared" si="15"/>
        <v>0</v>
      </c>
    </row>
    <row r="152" spans="2:102" ht="25.5">
      <c r="B152" s="49" t="s">
        <v>151</v>
      </c>
      <c r="C152" s="14" t="s">
        <v>145</v>
      </c>
      <c r="D152" s="98" t="str">
        <f t="shared" si="17"/>
        <v>Same k as rxn BR27</v>
      </c>
      <c r="E152" s="98"/>
      <c r="F152" s="98"/>
      <c r="G152" s="99"/>
      <c r="H152" s="39" t="s">
        <v>56</v>
      </c>
      <c r="I152" s="49" t="s">
        <v>85</v>
      </c>
      <c r="K152" s="116"/>
      <c r="L152" s="120"/>
      <c r="M152" s="117"/>
      <c r="N152" s="116"/>
      <c r="O152" s="117"/>
      <c r="P152" s="118"/>
      <c r="Q152" s="117"/>
      <c r="S152" s="40">
        <f t="shared" si="18"/>
      </c>
      <c r="T152" s="116"/>
      <c r="U152" s="117"/>
      <c r="V152" s="116"/>
      <c r="W152" s="116"/>
      <c r="X152" s="117"/>
      <c r="Y152" s="117"/>
      <c r="CU152" s="1" t="s">
        <v>145</v>
      </c>
      <c r="CX152" s="2">
        <f t="shared" si="15"/>
        <v>0</v>
      </c>
    </row>
    <row r="153" spans="2:102" ht="25.5">
      <c r="B153" s="49" t="s">
        <v>153</v>
      </c>
      <c r="C153" s="14" t="s">
        <v>147</v>
      </c>
      <c r="D153" s="98" t="str">
        <f t="shared" si="17"/>
        <v>Same k as rxn BR27</v>
      </c>
      <c r="E153" s="98"/>
      <c r="F153" s="98"/>
      <c r="G153" s="99"/>
      <c r="H153" s="39" t="s">
        <v>56</v>
      </c>
      <c r="I153" s="49" t="s">
        <v>85</v>
      </c>
      <c r="K153" s="116"/>
      <c r="L153" s="120"/>
      <c r="M153" s="117"/>
      <c r="N153" s="116"/>
      <c r="O153" s="117"/>
      <c r="P153" s="118"/>
      <c r="Q153" s="117"/>
      <c r="S153" s="40">
        <f t="shared" si="18"/>
      </c>
      <c r="T153" s="116"/>
      <c r="U153" s="117"/>
      <c r="V153" s="116"/>
      <c r="W153" s="116"/>
      <c r="X153" s="117"/>
      <c r="Y153" s="117"/>
      <c r="CU153" s="1" t="s">
        <v>147</v>
      </c>
      <c r="CX153" s="2">
        <f t="shared" si="15"/>
        <v>0</v>
      </c>
    </row>
    <row r="154" spans="2:102" ht="25.5">
      <c r="B154" s="49" t="s">
        <v>155</v>
      </c>
      <c r="C154" s="14" t="s">
        <v>149</v>
      </c>
      <c r="D154" s="98" t="str">
        <f t="shared" si="17"/>
        <v>Same k as rxn BR27</v>
      </c>
      <c r="E154" s="98"/>
      <c r="F154" s="98"/>
      <c r="G154" s="99"/>
      <c r="H154" s="39" t="s">
        <v>56</v>
      </c>
      <c r="I154" s="49" t="s">
        <v>85</v>
      </c>
      <c r="K154" s="116"/>
      <c r="L154" s="120"/>
      <c r="M154" s="117"/>
      <c r="N154" s="116"/>
      <c r="O154" s="117"/>
      <c r="P154" s="118"/>
      <c r="Q154" s="117"/>
      <c r="S154" s="40">
        <f t="shared" si="18"/>
      </c>
      <c r="T154" s="116"/>
      <c r="U154" s="117"/>
      <c r="V154" s="116"/>
      <c r="W154" s="116"/>
      <c r="X154" s="117"/>
      <c r="Y154" s="117"/>
      <c r="CU154" s="1" t="s">
        <v>149</v>
      </c>
      <c r="CX154" s="2">
        <f t="shared" si="15"/>
        <v>0</v>
      </c>
    </row>
    <row r="155" spans="1:102" ht="15">
      <c r="A155" s="13" t="s">
        <v>150</v>
      </c>
      <c r="D155" s="95"/>
      <c r="E155" s="95"/>
      <c r="F155" s="96"/>
      <c r="G155" s="96"/>
      <c r="J155" s="38"/>
      <c r="K155" s="109"/>
      <c r="L155" s="110"/>
      <c r="M155" s="111"/>
      <c r="N155" s="112"/>
      <c r="O155" s="111"/>
      <c r="P155" s="113"/>
      <c r="Q155" s="111"/>
      <c r="S155" s="40">
        <f t="shared" si="18"/>
      </c>
      <c r="T155" s="109"/>
      <c r="U155" s="111"/>
      <c r="V155" s="112"/>
      <c r="W155" s="112"/>
      <c r="X155" s="111"/>
      <c r="Y155" s="111"/>
      <c r="CX155" s="2">
        <f t="shared" si="15"/>
        <v>0</v>
      </c>
    </row>
    <row r="156" spans="2:102" ht="15">
      <c r="B156" s="49" t="s">
        <v>157</v>
      </c>
      <c r="C156" s="14" t="s">
        <v>152</v>
      </c>
      <c r="D156" s="95">
        <f>IF(OR(H156="T",H156="C"),S156,H156)</f>
        <v>2.4E-11</v>
      </c>
      <c r="E156" s="95">
        <f>IF(H156="C","",K156)</f>
      </c>
      <c r="F156" s="96">
        <f>IF(H156="C","",U156)</f>
      </c>
      <c r="G156" s="96">
        <f>IF(M156=0,"",M156)</f>
      </c>
      <c r="H156" s="39" t="s">
        <v>1851</v>
      </c>
      <c r="K156" s="116">
        <v>2.4E-11</v>
      </c>
      <c r="L156" s="120"/>
      <c r="M156" s="117"/>
      <c r="N156" s="116"/>
      <c r="O156" s="117"/>
      <c r="P156" s="118"/>
      <c r="Q156" s="117"/>
      <c r="S156" s="40">
        <f t="shared" si="18"/>
        <v>2.4E-11</v>
      </c>
      <c r="T156" s="40">
        <f>K156*EXP(-L156/T$4)*((T$4/300)^M156)</f>
        <v>2.4E-11</v>
      </c>
      <c r="U156" s="117"/>
      <c r="V156" s="116"/>
      <c r="W156" s="116"/>
      <c r="X156" s="117"/>
      <c r="Y156" s="117"/>
      <c r="CU156" s="1" t="s">
        <v>152</v>
      </c>
      <c r="CX156" s="2">
        <f t="shared" si="15"/>
        <v>0</v>
      </c>
    </row>
    <row r="157" spans="2:102" ht="15">
      <c r="B157" s="49" t="s">
        <v>159</v>
      </c>
      <c r="C157" s="14" t="s">
        <v>154</v>
      </c>
      <c r="D157" s="95">
        <f>IF(OR(H157="T",H157="C"),S157,H157)</f>
        <v>1184.624681561337</v>
      </c>
      <c r="E157" s="95">
        <f>IF(H157="C","",K157)</f>
        <v>750000000000000</v>
      </c>
      <c r="F157" s="96">
        <f>IF(H157="C","",U157)</f>
        <v>16.2</v>
      </c>
      <c r="G157" s="96">
        <f>IF(M157=0,"",M157)</f>
      </c>
      <c r="H157" s="39" t="s">
        <v>1859</v>
      </c>
      <c r="K157" s="116">
        <v>750000000000000</v>
      </c>
      <c r="L157" s="41">
        <v>8152.173913043477</v>
      </c>
      <c r="M157" s="117">
        <v>0</v>
      </c>
      <c r="N157" s="116"/>
      <c r="O157" s="117"/>
      <c r="P157" s="118"/>
      <c r="Q157" s="117"/>
      <c r="S157" s="40">
        <f>IF(OR(H157="T",H157="C"),T157,IF(H157="F",(V157/(1+(V157/T157)))*Q157^(1/(1+((LOG10(V157/T157)/R157)^2))),IF(H157="S1",T157+V157,IF(H157="S2",T157+(V157/(1+(V157/#REF!))),""))))</f>
        <v>1184.624681561337</v>
      </c>
      <c r="T157" s="40">
        <f>K157*EXP(-L157/T$4)*((T$4/300)^M157)</f>
        <v>1184.624681561337</v>
      </c>
      <c r="U157" s="15">
        <f>L157*Rfac</f>
        <v>16.2</v>
      </c>
      <c r="V157" s="116"/>
      <c r="W157" s="116"/>
      <c r="X157" s="117"/>
      <c r="Y157" s="117"/>
      <c r="CU157" s="1" t="s">
        <v>154</v>
      </c>
      <c r="CX157" s="2">
        <f t="shared" si="15"/>
        <v>0</v>
      </c>
    </row>
    <row r="158" spans="2:102" ht="15">
      <c r="B158" s="49" t="s">
        <v>1547</v>
      </c>
      <c r="C158" s="14" t="s">
        <v>156</v>
      </c>
      <c r="D158" s="95">
        <f>IF(OR(H158="T",H158="C"),S158,H158)</f>
        <v>3.792058922610295E-11</v>
      </c>
      <c r="E158" s="95">
        <f>IF(H158="C","",K158)</f>
        <v>2.3E-11</v>
      </c>
      <c r="F158" s="96">
        <f>IF(H158="C","",U158)</f>
        <v>-0.29808</v>
      </c>
      <c r="G158" s="96">
        <f>IF(M158=0,"",M158)</f>
      </c>
      <c r="H158" s="39" t="s">
        <v>1859</v>
      </c>
      <c r="K158" s="116">
        <v>2.3E-11</v>
      </c>
      <c r="L158" s="120">
        <v>-150</v>
      </c>
      <c r="M158" s="117">
        <v>0</v>
      </c>
      <c r="N158" s="116"/>
      <c r="O158" s="117"/>
      <c r="P158" s="118"/>
      <c r="Q158" s="117"/>
      <c r="S158" s="40">
        <f t="shared" si="18"/>
        <v>3.792058922610295E-11</v>
      </c>
      <c r="T158" s="40">
        <f>K158*EXP(-L158/T$4)*((T$4/300)^M158)</f>
        <v>3.792058922610295E-11</v>
      </c>
      <c r="U158" s="15">
        <f>L158*Rfac</f>
        <v>-0.29808</v>
      </c>
      <c r="V158" s="116"/>
      <c r="W158" s="116"/>
      <c r="X158" s="117"/>
      <c r="Y158" s="117"/>
      <c r="CU158" s="1" t="s">
        <v>156</v>
      </c>
      <c r="CX158" s="2">
        <f t="shared" si="15"/>
        <v>0</v>
      </c>
    </row>
    <row r="159" spans="2:102" ht="15">
      <c r="B159" s="49" t="s">
        <v>1548</v>
      </c>
      <c r="C159" s="14" t="s">
        <v>158</v>
      </c>
      <c r="D159" s="98" t="str">
        <f>IF(H159="S",CONCATENATE("Same k as rxn ",I159),H159)</f>
        <v>Same k as rxn BR08</v>
      </c>
      <c r="E159" s="98"/>
      <c r="F159" s="98"/>
      <c r="G159" s="99"/>
      <c r="H159" s="39" t="s">
        <v>56</v>
      </c>
      <c r="I159" s="49" t="s">
        <v>46</v>
      </c>
      <c r="K159" s="116" t="s">
        <v>1861</v>
      </c>
      <c r="L159" s="120"/>
      <c r="M159" s="117"/>
      <c r="N159" s="116"/>
      <c r="O159" s="117"/>
      <c r="P159" s="118"/>
      <c r="Q159" s="117"/>
      <c r="S159" s="40">
        <f t="shared" si="18"/>
      </c>
      <c r="T159" s="116"/>
      <c r="U159" s="117"/>
      <c r="V159" s="116"/>
      <c r="W159" s="116"/>
      <c r="X159" s="117"/>
      <c r="Y159" s="117"/>
      <c r="CU159" s="1" t="s">
        <v>158</v>
      </c>
      <c r="CX159" s="2">
        <f t="shared" si="15"/>
        <v>0</v>
      </c>
    </row>
    <row r="160" spans="2:102" ht="15">
      <c r="B160" s="49" t="s">
        <v>1549</v>
      </c>
      <c r="C160" s="14" t="s">
        <v>160</v>
      </c>
      <c r="D160" s="95">
        <f>IF(OR(H160="T",H160="C"),S160,H160)</f>
        <v>0.001</v>
      </c>
      <c r="E160" s="95">
        <f>IF(H160="C","",K160)</f>
      </c>
      <c r="F160" s="96">
        <f>IF(H160="C","",U160)</f>
      </c>
      <c r="G160" s="96">
        <f>IF(M160=0,"",M160)</f>
      </c>
      <c r="H160" s="39" t="s">
        <v>1851</v>
      </c>
      <c r="K160" s="116">
        <v>0.001</v>
      </c>
      <c r="L160" s="120"/>
      <c r="M160" s="117"/>
      <c r="N160" s="116"/>
      <c r="O160" s="117"/>
      <c r="P160" s="118"/>
      <c r="Q160" s="117"/>
      <c r="S160" s="40">
        <f>IF(OR(H160="T",H160="C"),T160,IF(H160="F",(V160/(1+(V160/T160)))*Q160^(1/(1+((LOG10(V160/T160)/R160)^2))),IF(H160="S1",T160+V160,IF(H160="S2",T160+(V160/(1+(V160/#REF!))),""))))</f>
        <v>0.001</v>
      </c>
      <c r="T160" s="40">
        <f>K160*EXP(-L160/T$4)*((T$4/300)^M160)</f>
        <v>0.001</v>
      </c>
      <c r="U160" s="117"/>
      <c r="V160" s="116"/>
      <c r="W160" s="116"/>
      <c r="X160" s="117"/>
      <c r="Y160" s="117"/>
      <c r="CU160" s="1" t="s">
        <v>160</v>
      </c>
      <c r="CX160" s="2">
        <f t="shared" si="15"/>
        <v>0</v>
      </c>
    </row>
    <row r="161" spans="1:102" ht="15">
      <c r="A161" s="13" t="s">
        <v>161</v>
      </c>
      <c r="D161" s="98"/>
      <c r="E161" s="98"/>
      <c r="F161" s="98"/>
      <c r="G161" s="99"/>
      <c r="K161" s="116"/>
      <c r="L161" s="120"/>
      <c r="M161" s="117"/>
      <c r="N161" s="116"/>
      <c r="O161" s="117"/>
      <c r="P161" s="118"/>
      <c r="Q161" s="117"/>
      <c r="S161" s="40"/>
      <c r="T161" s="116"/>
      <c r="U161" s="117"/>
      <c r="V161" s="116"/>
      <c r="W161" s="116"/>
      <c r="X161" s="117"/>
      <c r="Y161" s="117"/>
      <c r="CX161" s="2">
        <f t="shared" si="15"/>
        <v>0</v>
      </c>
    </row>
    <row r="162" spans="2:102" ht="15">
      <c r="B162" s="49" t="s">
        <v>162</v>
      </c>
      <c r="C162" s="14" t="s">
        <v>163</v>
      </c>
      <c r="D162" s="138" t="str">
        <f aca="true" t="shared" si="19" ref="D162:D179">IF(H162="Q",CONCATENATE("k is variable parameter: ",I162),H162)</f>
        <v>k is variable parameter: RO2RO</v>
      </c>
      <c r="E162" s="98"/>
      <c r="F162" s="98"/>
      <c r="G162" s="98"/>
      <c r="H162" s="39" t="s">
        <v>164</v>
      </c>
      <c r="I162" s="49" t="s">
        <v>165</v>
      </c>
      <c r="K162" s="116"/>
      <c r="L162" s="120"/>
      <c r="M162" s="117"/>
      <c r="N162" s="116"/>
      <c r="O162" s="117"/>
      <c r="P162" s="118"/>
      <c r="Q162" s="117"/>
      <c r="S162" s="40"/>
      <c r="T162" s="116"/>
      <c r="U162" s="117"/>
      <c r="V162" s="116"/>
      <c r="W162" s="116"/>
      <c r="X162" s="117"/>
      <c r="Y162" s="117"/>
      <c r="CU162" s="1" t="s">
        <v>163</v>
      </c>
      <c r="CX162" s="2">
        <f t="shared" si="15"/>
        <v>0</v>
      </c>
    </row>
    <row r="163" spans="2:102" ht="15">
      <c r="B163" s="49" t="s">
        <v>166</v>
      </c>
      <c r="C163" s="14" t="s">
        <v>167</v>
      </c>
      <c r="D163" s="138" t="str">
        <f t="shared" si="19"/>
        <v>k is variable parameter: RO2XRO</v>
      </c>
      <c r="E163" s="98"/>
      <c r="F163" s="98"/>
      <c r="G163" s="98"/>
      <c r="H163" s="39" t="s">
        <v>164</v>
      </c>
      <c r="I163" s="49" t="s">
        <v>168</v>
      </c>
      <c r="K163" s="116"/>
      <c r="L163" s="120"/>
      <c r="M163" s="117"/>
      <c r="N163" s="116"/>
      <c r="O163" s="117"/>
      <c r="P163" s="118"/>
      <c r="Q163" s="117"/>
      <c r="S163" s="40"/>
      <c r="T163" s="116"/>
      <c r="U163" s="117"/>
      <c r="V163" s="116"/>
      <c r="W163" s="116"/>
      <c r="X163" s="117"/>
      <c r="Y163" s="117"/>
      <c r="CU163" s="1" t="s">
        <v>167</v>
      </c>
      <c r="CX163" s="2">
        <f t="shared" si="15"/>
        <v>0</v>
      </c>
    </row>
    <row r="164" spans="2:102" ht="15">
      <c r="B164" s="49" t="s">
        <v>169</v>
      </c>
      <c r="C164" s="14" t="s">
        <v>170</v>
      </c>
      <c r="D164" s="138" t="str">
        <f t="shared" si="19"/>
        <v>k is variable parameter: RO2RO</v>
      </c>
      <c r="E164" s="98"/>
      <c r="F164" s="98"/>
      <c r="G164" s="98"/>
      <c r="H164" s="39" t="s">
        <v>164</v>
      </c>
      <c r="I164" s="49" t="s">
        <v>165</v>
      </c>
      <c r="K164" s="116"/>
      <c r="L164" s="120"/>
      <c r="M164" s="117"/>
      <c r="N164" s="116"/>
      <c r="O164" s="117"/>
      <c r="P164" s="118"/>
      <c r="Q164" s="117"/>
      <c r="S164" s="40"/>
      <c r="T164" s="116"/>
      <c r="U164" s="117"/>
      <c r="V164" s="116"/>
      <c r="W164" s="116"/>
      <c r="X164" s="117"/>
      <c r="Y164" s="117"/>
      <c r="CU164" s="1" t="s">
        <v>170</v>
      </c>
      <c r="CX164" s="2">
        <f t="shared" si="15"/>
        <v>0</v>
      </c>
    </row>
    <row r="165" spans="2:102" ht="15">
      <c r="B165" s="49" t="s">
        <v>171</v>
      </c>
      <c r="C165" s="14" t="s">
        <v>172</v>
      </c>
      <c r="D165" s="138" t="str">
        <f t="shared" si="19"/>
        <v>k is variable parameter: RO2XRO</v>
      </c>
      <c r="E165" s="98"/>
      <c r="F165" s="98"/>
      <c r="G165" s="98"/>
      <c r="H165" s="39" t="s">
        <v>164</v>
      </c>
      <c r="I165" s="49" t="s">
        <v>168</v>
      </c>
      <c r="K165" s="116"/>
      <c r="L165" s="120"/>
      <c r="M165" s="117"/>
      <c r="N165" s="116"/>
      <c r="O165" s="117"/>
      <c r="P165" s="118"/>
      <c r="Q165" s="117"/>
      <c r="S165" s="40"/>
      <c r="T165" s="116"/>
      <c r="U165" s="117"/>
      <c r="V165" s="116"/>
      <c r="W165" s="116"/>
      <c r="X165" s="117"/>
      <c r="Y165" s="117"/>
      <c r="CU165" s="1" t="s">
        <v>172</v>
      </c>
      <c r="CX165" s="2">
        <f t="shared" si="15"/>
        <v>0</v>
      </c>
    </row>
    <row r="166" spans="2:102" ht="15">
      <c r="B166" s="49" t="s">
        <v>173</v>
      </c>
      <c r="C166" s="14" t="s">
        <v>174</v>
      </c>
      <c r="D166" s="138" t="str">
        <f t="shared" si="19"/>
        <v>k is variable parameter: RO2RO</v>
      </c>
      <c r="E166" s="98"/>
      <c r="F166" s="98"/>
      <c r="G166" s="98"/>
      <c r="H166" s="39" t="s">
        <v>164</v>
      </c>
      <c r="I166" s="49" t="s">
        <v>165</v>
      </c>
      <c r="K166" s="116"/>
      <c r="L166" s="120"/>
      <c r="M166" s="117"/>
      <c r="N166" s="116"/>
      <c r="O166" s="117"/>
      <c r="P166" s="118"/>
      <c r="Q166" s="117"/>
      <c r="S166" s="40"/>
      <c r="T166" s="116"/>
      <c r="U166" s="117"/>
      <c r="V166" s="116"/>
      <c r="W166" s="116"/>
      <c r="X166" s="117"/>
      <c r="Y166" s="117"/>
      <c r="CU166" s="1" t="s">
        <v>174</v>
      </c>
      <c r="CX166" s="2">
        <f t="shared" si="15"/>
        <v>0</v>
      </c>
    </row>
    <row r="167" spans="2:102" ht="15">
      <c r="B167" s="49" t="s">
        <v>175</v>
      </c>
      <c r="C167" s="14" t="s">
        <v>176</v>
      </c>
      <c r="D167" s="138" t="str">
        <f t="shared" si="19"/>
        <v>k is variable parameter: RO2XRO</v>
      </c>
      <c r="E167" s="98"/>
      <c r="F167" s="98"/>
      <c r="G167" s="98"/>
      <c r="H167" s="39" t="s">
        <v>164</v>
      </c>
      <c r="I167" s="49" t="s">
        <v>168</v>
      </c>
      <c r="K167" s="116"/>
      <c r="L167" s="120"/>
      <c r="M167" s="117"/>
      <c r="N167" s="116"/>
      <c r="O167" s="117"/>
      <c r="P167" s="118"/>
      <c r="Q167" s="117"/>
      <c r="S167" s="40"/>
      <c r="T167" s="116"/>
      <c r="U167" s="117"/>
      <c r="V167" s="116"/>
      <c r="W167" s="116"/>
      <c r="X167" s="117"/>
      <c r="Y167" s="117"/>
      <c r="CU167" s="1" t="s">
        <v>176</v>
      </c>
      <c r="CX167" s="2">
        <f t="shared" si="15"/>
        <v>0</v>
      </c>
    </row>
    <row r="168" spans="2:102" ht="15">
      <c r="B168" s="49" t="s">
        <v>177</v>
      </c>
      <c r="C168" s="14" t="s">
        <v>178</v>
      </c>
      <c r="D168" s="138" t="str">
        <f t="shared" si="19"/>
        <v>k is variable parameter: RO2RO</v>
      </c>
      <c r="E168" s="98"/>
      <c r="F168" s="98"/>
      <c r="G168" s="98"/>
      <c r="H168" s="39" t="s">
        <v>164</v>
      </c>
      <c r="I168" s="49" t="s">
        <v>165</v>
      </c>
      <c r="K168" s="116"/>
      <c r="L168" s="120"/>
      <c r="M168" s="117"/>
      <c r="N168" s="116"/>
      <c r="O168" s="117"/>
      <c r="P168" s="118"/>
      <c r="Q168" s="117"/>
      <c r="S168" s="40"/>
      <c r="T168" s="116"/>
      <c r="U168" s="117"/>
      <c r="V168" s="116"/>
      <c r="W168" s="116"/>
      <c r="X168" s="117"/>
      <c r="Y168" s="117"/>
      <c r="CU168" s="1" t="s">
        <v>178</v>
      </c>
      <c r="CX168" s="2">
        <f t="shared" si="15"/>
        <v>0</v>
      </c>
    </row>
    <row r="169" spans="2:102" ht="15">
      <c r="B169" s="49" t="s">
        <v>179</v>
      </c>
      <c r="C169" s="14" t="s">
        <v>180</v>
      </c>
      <c r="D169" s="138" t="str">
        <f t="shared" si="19"/>
        <v>k is variable parameter: RO2XRO</v>
      </c>
      <c r="E169" s="98"/>
      <c r="F169" s="98"/>
      <c r="G169" s="98"/>
      <c r="H169" s="39" t="s">
        <v>164</v>
      </c>
      <c r="I169" s="49" t="s">
        <v>168</v>
      </c>
      <c r="K169" s="116"/>
      <c r="L169" s="120"/>
      <c r="M169" s="117"/>
      <c r="N169" s="116"/>
      <c r="O169" s="117"/>
      <c r="P169" s="118"/>
      <c r="Q169" s="117"/>
      <c r="S169" s="40"/>
      <c r="T169" s="116"/>
      <c r="U169" s="117"/>
      <c r="V169" s="116"/>
      <c r="W169" s="116"/>
      <c r="X169" s="117"/>
      <c r="Y169" s="117"/>
      <c r="CU169" s="1" t="s">
        <v>180</v>
      </c>
      <c r="CX169" s="2">
        <f t="shared" si="15"/>
        <v>0</v>
      </c>
    </row>
    <row r="170" spans="2:102" ht="15">
      <c r="B170" s="49" t="s">
        <v>181</v>
      </c>
      <c r="C170" s="14" t="s">
        <v>182</v>
      </c>
      <c r="D170" s="138" t="str">
        <f t="shared" si="19"/>
        <v>k is variable parameter: RO2RO</v>
      </c>
      <c r="E170" s="98"/>
      <c r="F170" s="98"/>
      <c r="G170" s="98"/>
      <c r="H170" s="39" t="s">
        <v>164</v>
      </c>
      <c r="I170" s="49" t="s">
        <v>165</v>
      </c>
      <c r="K170" s="116"/>
      <c r="L170" s="120"/>
      <c r="M170" s="117"/>
      <c r="N170" s="116"/>
      <c r="O170" s="117"/>
      <c r="P170" s="118"/>
      <c r="Q170" s="117"/>
      <c r="S170" s="40"/>
      <c r="T170" s="116"/>
      <c r="U170" s="117"/>
      <c r="V170" s="116"/>
      <c r="W170" s="116"/>
      <c r="X170" s="117"/>
      <c r="Y170" s="117"/>
      <c r="CU170" s="1" t="s">
        <v>182</v>
      </c>
      <c r="CX170" s="2">
        <f t="shared" si="15"/>
        <v>0</v>
      </c>
    </row>
    <row r="171" spans="2:102" ht="15">
      <c r="B171" s="49" t="s">
        <v>183</v>
      </c>
      <c r="C171" s="14" t="s">
        <v>184</v>
      </c>
      <c r="D171" s="138" t="str">
        <f t="shared" si="19"/>
        <v>k is variable parameter: RO2XRO</v>
      </c>
      <c r="E171" s="98"/>
      <c r="F171" s="98"/>
      <c r="G171" s="98"/>
      <c r="H171" s="39" t="s">
        <v>164</v>
      </c>
      <c r="I171" s="49" t="s">
        <v>168</v>
      </c>
      <c r="K171" s="116"/>
      <c r="L171" s="120"/>
      <c r="M171" s="117"/>
      <c r="N171" s="116"/>
      <c r="O171" s="117"/>
      <c r="P171" s="118"/>
      <c r="Q171" s="117"/>
      <c r="S171" s="40"/>
      <c r="T171" s="116"/>
      <c r="U171" s="117"/>
      <c r="V171" s="116"/>
      <c r="W171" s="116"/>
      <c r="X171" s="117"/>
      <c r="Y171" s="117"/>
      <c r="CU171" s="1" t="s">
        <v>184</v>
      </c>
      <c r="CX171" s="2">
        <f t="shared" si="15"/>
        <v>0</v>
      </c>
    </row>
    <row r="172" spans="2:102" ht="15">
      <c r="B172" s="49" t="s">
        <v>185</v>
      </c>
      <c r="C172" s="14" t="s">
        <v>186</v>
      </c>
      <c r="D172" s="138" t="str">
        <f t="shared" si="19"/>
        <v>k is variable parameter: RO2RO</v>
      </c>
      <c r="E172" s="98"/>
      <c r="F172" s="98"/>
      <c r="G172" s="98"/>
      <c r="H172" s="39" t="s">
        <v>164</v>
      </c>
      <c r="I172" s="49" t="s">
        <v>165</v>
      </c>
      <c r="K172" s="116"/>
      <c r="L172" s="120"/>
      <c r="M172" s="117"/>
      <c r="N172" s="116"/>
      <c r="O172" s="117"/>
      <c r="P172" s="118"/>
      <c r="Q172" s="117"/>
      <c r="S172" s="40"/>
      <c r="T172" s="116"/>
      <c r="U172" s="117"/>
      <c r="V172" s="116"/>
      <c r="W172" s="116"/>
      <c r="X172" s="117"/>
      <c r="Y172" s="117"/>
      <c r="CU172" s="1" t="s">
        <v>186</v>
      </c>
      <c r="CX172" s="2">
        <f t="shared" si="15"/>
        <v>0</v>
      </c>
    </row>
    <row r="173" spans="2:102" ht="15">
      <c r="B173" s="49" t="s">
        <v>187</v>
      </c>
      <c r="C173" s="14" t="s">
        <v>188</v>
      </c>
      <c r="D173" s="138" t="str">
        <f t="shared" si="19"/>
        <v>k is variable parameter: RO2XRO</v>
      </c>
      <c r="E173" s="98"/>
      <c r="F173" s="98"/>
      <c r="G173" s="98"/>
      <c r="H173" s="39" t="s">
        <v>164</v>
      </c>
      <c r="I173" s="49" t="s">
        <v>168</v>
      </c>
      <c r="K173" s="116"/>
      <c r="L173" s="120"/>
      <c r="M173" s="117"/>
      <c r="N173" s="116"/>
      <c r="O173" s="117"/>
      <c r="P173" s="118"/>
      <c r="Q173" s="117"/>
      <c r="S173" s="40"/>
      <c r="T173" s="116"/>
      <c r="U173" s="117"/>
      <c r="V173" s="116"/>
      <c r="W173" s="116"/>
      <c r="X173" s="117"/>
      <c r="Y173" s="117"/>
      <c r="CU173" s="1" t="s">
        <v>188</v>
      </c>
      <c r="CX173" s="2">
        <f t="shared" si="15"/>
        <v>0</v>
      </c>
    </row>
    <row r="174" spans="2:102" ht="15">
      <c r="B174" s="49" t="s">
        <v>189</v>
      </c>
      <c r="C174" s="14" t="s">
        <v>190</v>
      </c>
      <c r="D174" s="138" t="str">
        <f t="shared" si="19"/>
        <v>k is variable parameter: RO2RO</v>
      </c>
      <c r="E174" s="98"/>
      <c r="F174" s="98"/>
      <c r="G174" s="98"/>
      <c r="H174" s="39" t="s">
        <v>164</v>
      </c>
      <c r="I174" s="49" t="s">
        <v>165</v>
      </c>
      <c r="K174" s="116"/>
      <c r="L174" s="120"/>
      <c r="M174" s="117"/>
      <c r="N174" s="116"/>
      <c r="O174" s="117"/>
      <c r="P174" s="118"/>
      <c r="Q174" s="117"/>
      <c r="S174" s="40"/>
      <c r="T174" s="116"/>
      <c r="U174" s="117"/>
      <c r="V174" s="116"/>
      <c r="W174" s="116"/>
      <c r="X174" s="117"/>
      <c r="Y174" s="117"/>
      <c r="CU174" s="1" t="s">
        <v>190</v>
      </c>
      <c r="CX174" s="2">
        <f t="shared" si="15"/>
        <v>0</v>
      </c>
    </row>
    <row r="175" spans="2:102" ht="15">
      <c r="B175" s="49" t="s">
        <v>191</v>
      </c>
      <c r="C175" s="14" t="s">
        <v>192</v>
      </c>
      <c r="D175" s="138" t="str">
        <f t="shared" si="19"/>
        <v>k is variable parameter: RO2XRO</v>
      </c>
      <c r="E175" s="98"/>
      <c r="F175" s="98"/>
      <c r="G175" s="98"/>
      <c r="H175" s="39" t="s">
        <v>164</v>
      </c>
      <c r="I175" s="49" t="s">
        <v>168</v>
      </c>
      <c r="K175" s="116"/>
      <c r="L175" s="120"/>
      <c r="M175" s="117"/>
      <c r="N175" s="116"/>
      <c r="O175" s="117"/>
      <c r="P175" s="118"/>
      <c r="Q175" s="117"/>
      <c r="S175" s="40"/>
      <c r="T175" s="116"/>
      <c r="U175" s="117"/>
      <c r="V175" s="116"/>
      <c r="W175" s="116"/>
      <c r="X175" s="117"/>
      <c r="Y175" s="117"/>
      <c r="CU175" s="1" t="s">
        <v>192</v>
      </c>
      <c r="CX175" s="2">
        <f t="shared" si="15"/>
        <v>0</v>
      </c>
    </row>
    <row r="176" spans="2:102" ht="15">
      <c r="B176" s="49" t="s">
        <v>193</v>
      </c>
      <c r="C176" s="14" t="s">
        <v>194</v>
      </c>
      <c r="D176" s="138" t="str">
        <f t="shared" si="19"/>
        <v>k is variable parameter: RO2RO</v>
      </c>
      <c r="E176" s="98"/>
      <c r="F176" s="98"/>
      <c r="G176" s="98"/>
      <c r="H176" s="39" t="s">
        <v>164</v>
      </c>
      <c r="I176" s="49" t="s">
        <v>165</v>
      </c>
      <c r="K176" s="116"/>
      <c r="L176" s="120"/>
      <c r="M176" s="117"/>
      <c r="N176" s="116"/>
      <c r="O176" s="117"/>
      <c r="P176" s="118"/>
      <c r="Q176" s="117"/>
      <c r="S176" s="40"/>
      <c r="T176" s="116"/>
      <c r="U176" s="117"/>
      <c r="V176" s="116"/>
      <c r="W176" s="116"/>
      <c r="X176" s="117"/>
      <c r="Y176" s="117"/>
      <c r="CU176" s="1" t="s">
        <v>194</v>
      </c>
      <c r="CX176" s="2">
        <f t="shared" si="15"/>
        <v>0</v>
      </c>
    </row>
    <row r="177" spans="2:102" ht="15">
      <c r="B177" s="49" t="s">
        <v>195</v>
      </c>
      <c r="C177" s="14" t="s">
        <v>196</v>
      </c>
      <c r="D177" s="138" t="str">
        <f t="shared" si="19"/>
        <v>k is variable parameter: RO2XRO</v>
      </c>
      <c r="E177" s="98"/>
      <c r="F177" s="98"/>
      <c r="G177" s="98"/>
      <c r="H177" s="39" t="s">
        <v>164</v>
      </c>
      <c r="I177" s="49" t="s">
        <v>168</v>
      </c>
      <c r="K177" s="116"/>
      <c r="L177" s="120"/>
      <c r="M177" s="117"/>
      <c r="N177" s="116"/>
      <c r="O177" s="117"/>
      <c r="P177" s="118"/>
      <c r="Q177" s="117"/>
      <c r="S177" s="40"/>
      <c r="T177" s="116"/>
      <c r="U177" s="117"/>
      <c r="V177" s="116"/>
      <c r="W177" s="116"/>
      <c r="X177" s="117"/>
      <c r="Y177" s="117"/>
      <c r="CU177" s="1" t="s">
        <v>196</v>
      </c>
      <c r="CX177" s="2">
        <f t="shared" si="15"/>
        <v>0</v>
      </c>
    </row>
    <row r="178" spans="2:102" ht="15">
      <c r="B178" s="49" t="s">
        <v>197</v>
      </c>
      <c r="C178" s="14" t="s">
        <v>198</v>
      </c>
      <c r="D178" s="138" t="str">
        <f t="shared" si="19"/>
        <v>k is variable parameter: RO2RO</v>
      </c>
      <c r="E178" s="98"/>
      <c r="F178" s="98"/>
      <c r="G178" s="98"/>
      <c r="H178" s="39" t="s">
        <v>164</v>
      </c>
      <c r="I178" s="49" t="s">
        <v>165</v>
      </c>
      <c r="K178" s="116"/>
      <c r="L178" s="120"/>
      <c r="M178" s="117"/>
      <c r="N178" s="116"/>
      <c r="O178" s="117"/>
      <c r="P178" s="118"/>
      <c r="Q178" s="117"/>
      <c r="S178" s="40"/>
      <c r="T178" s="116"/>
      <c r="U178" s="117"/>
      <c r="V178" s="116"/>
      <c r="W178" s="116"/>
      <c r="X178" s="117"/>
      <c r="Y178" s="117"/>
      <c r="CU178" s="1" t="s">
        <v>198</v>
      </c>
      <c r="CX178" s="2">
        <f t="shared" si="15"/>
        <v>0</v>
      </c>
    </row>
    <row r="179" spans="2:102" ht="15">
      <c r="B179" s="49" t="s">
        <v>199</v>
      </c>
      <c r="C179" s="14" t="s">
        <v>200</v>
      </c>
      <c r="D179" s="138" t="str">
        <f t="shared" si="19"/>
        <v>k is variable parameter: RO2XRO</v>
      </c>
      <c r="E179" s="98"/>
      <c r="F179" s="98"/>
      <c r="G179" s="98"/>
      <c r="H179" s="39" t="s">
        <v>164</v>
      </c>
      <c r="I179" s="49" t="s">
        <v>168</v>
      </c>
      <c r="K179" s="116"/>
      <c r="L179" s="120"/>
      <c r="M179" s="117"/>
      <c r="N179" s="116"/>
      <c r="O179" s="117"/>
      <c r="P179" s="118"/>
      <c r="Q179" s="117"/>
      <c r="S179" s="40"/>
      <c r="T179" s="116"/>
      <c r="U179" s="117"/>
      <c r="V179" s="116"/>
      <c r="W179" s="116"/>
      <c r="X179" s="117"/>
      <c r="Y179" s="117"/>
      <c r="CU179" s="1" t="s">
        <v>200</v>
      </c>
      <c r="CX179" s="2">
        <f t="shared" si="15"/>
        <v>0</v>
      </c>
    </row>
    <row r="180" spans="1:102" ht="15">
      <c r="A180" s="13" t="s">
        <v>317</v>
      </c>
      <c r="D180" s="95"/>
      <c r="E180" s="95"/>
      <c r="F180" s="96"/>
      <c r="G180" s="96"/>
      <c r="J180" s="38"/>
      <c r="K180" s="109"/>
      <c r="L180" s="110"/>
      <c r="M180" s="111"/>
      <c r="N180" s="112"/>
      <c r="O180" s="111"/>
      <c r="P180" s="113"/>
      <c r="Q180" s="111"/>
      <c r="S180" s="40">
        <f aca="true" t="shared" si="20" ref="S180:S193">IF(OR(H180="T",H180="C"),T180,IF(H180="F",(V180/(1+(V180/T180)))*Q180^(1/(1+((LOG10(V180/T180)/R180)^2))),IF(H180="S1",T180+V180,IF(H180="S2",T180+(V180/(1+(V180/T181))),""))))</f>
      </c>
      <c r="T180" s="109"/>
      <c r="U180" s="111"/>
      <c r="V180" s="112"/>
      <c r="W180" s="112"/>
      <c r="X180" s="111"/>
      <c r="Y180" s="111"/>
      <c r="CX180" s="2">
        <f t="shared" si="15"/>
        <v>0</v>
      </c>
    </row>
    <row r="181" spans="2:102" ht="15">
      <c r="B181" s="49" t="s">
        <v>318</v>
      </c>
      <c r="C181" s="14" t="s">
        <v>319</v>
      </c>
      <c r="D181" s="98" t="str">
        <f>IF(H181="P",CONCATENATE("Phot Set= ",I181,IF(J181=0,"",CONCATENATE(", qy= ",TEXT(J181,"0.0e+0")))),H181)</f>
        <v>Phot Set= HCHOR-06</v>
      </c>
      <c r="E181" s="98"/>
      <c r="F181" s="98"/>
      <c r="G181" s="99"/>
      <c r="H181" s="39" t="s">
        <v>1856</v>
      </c>
      <c r="I181" s="49" t="s">
        <v>320</v>
      </c>
      <c r="K181" s="116" t="s">
        <v>1861</v>
      </c>
      <c r="L181" s="120"/>
      <c r="M181" s="117"/>
      <c r="N181" s="116"/>
      <c r="O181" s="117"/>
      <c r="P181" s="118"/>
      <c r="Q181" s="117"/>
      <c r="S181" s="40">
        <f t="shared" si="20"/>
      </c>
      <c r="T181" s="116"/>
      <c r="U181" s="117"/>
      <c r="V181" s="116"/>
      <c r="W181" s="116"/>
      <c r="X181" s="117"/>
      <c r="Y181" s="117"/>
      <c r="CU181" s="1" t="s">
        <v>319</v>
      </c>
      <c r="CX181" s="2">
        <f t="shared" si="15"/>
        <v>0</v>
      </c>
    </row>
    <row r="182" spans="2:102" ht="15">
      <c r="B182" s="49" t="s">
        <v>321</v>
      </c>
      <c r="C182" s="14" t="s">
        <v>322</v>
      </c>
      <c r="D182" s="98" t="str">
        <f>IF(H182="P",CONCATENATE("Phot Set= ",I182,IF(J182=0,"",CONCATENATE(", qy= ",TEXT(J182,"0.0e+0")))),H182)</f>
        <v>Phot Set= HCHOM-06</v>
      </c>
      <c r="E182" s="98"/>
      <c r="F182" s="98"/>
      <c r="G182" s="99"/>
      <c r="H182" s="39" t="s">
        <v>1856</v>
      </c>
      <c r="I182" s="49" t="s">
        <v>323</v>
      </c>
      <c r="K182" s="116" t="s">
        <v>1861</v>
      </c>
      <c r="L182" s="120"/>
      <c r="M182" s="117"/>
      <c r="N182" s="116"/>
      <c r="O182" s="117"/>
      <c r="P182" s="118"/>
      <c r="Q182" s="117"/>
      <c r="S182" s="40">
        <f t="shared" si="20"/>
      </c>
      <c r="T182" s="116"/>
      <c r="U182" s="117"/>
      <c r="V182" s="116"/>
      <c r="W182" s="116"/>
      <c r="X182" s="117"/>
      <c r="Y182" s="117"/>
      <c r="CU182" s="1" t="s">
        <v>322</v>
      </c>
      <c r="CX182" s="2">
        <f t="shared" si="15"/>
        <v>0</v>
      </c>
    </row>
    <row r="183" spans="2:102" ht="15">
      <c r="B183" s="49" t="s">
        <v>324</v>
      </c>
      <c r="C183" s="14" t="s">
        <v>325</v>
      </c>
      <c r="D183" s="95">
        <f>IF(OR(H183="T",H183="C"),S183,H183)</f>
        <v>8.468885801646911E-12</v>
      </c>
      <c r="E183" s="95">
        <f>IF(H183="C","",K183)</f>
        <v>5.4E-12</v>
      </c>
      <c r="F183" s="96">
        <f>IF(H183="C","",U183)</f>
        <v>-0.268272</v>
      </c>
      <c r="G183" s="96">
        <f>IF(M183=0,"",M183)</f>
      </c>
      <c r="H183" s="39" t="s">
        <v>1859</v>
      </c>
      <c r="K183" s="116">
        <v>5.4E-12</v>
      </c>
      <c r="L183" s="120">
        <v>-135</v>
      </c>
      <c r="M183" s="117">
        <v>0</v>
      </c>
      <c r="N183" s="116"/>
      <c r="O183" s="117"/>
      <c r="P183" s="118"/>
      <c r="Q183" s="117"/>
      <c r="S183" s="40">
        <f>IF(OR(H183="T",H183="C"),T183,IF(H183="F",(V183/(1+(V183/T183)))*Q183^(1/(1+((LOG10(V183/T183)/R183)^2))),IF(H183="S1",T183+V183,IF(H183="S2",T183+(V183/(1+(V183/#REF!))),""))))</f>
        <v>8.468885801646911E-12</v>
      </c>
      <c r="T183" s="40">
        <f>K183*EXP(-L183/T$4)*((T$4/300)^M183)</f>
        <v>8.468885801646911E-12</v>
      </c>
      <c r="U183" s="15">
        <f>L183*Rfac</f>
        <v>-0.268272</v>
      </c>
      <c r="V183" s="116"/>
      <c r="W183" s="116"/>
      <c r="X183" s="117"/>
      <c r="Y183" s="117"/>
      <c r="CU183" s="1" t="s">
        <v>325</v>
      </c>
      <c r="CX183" s="2">
        <f t="shared" si="15"/>
        <v>0</v>
      </c>
    </row>
    <row r="184" spans="2:102" ht="15">
      <c r="B184" s="49" t="s">
        <v>326</v>
      </c>
      <c r="C184" s="14" t="s">
        <v>327</v>
      </c>
      <c r="D184" s="95">
        <f>IF(OR(H184="T",H184="C"),S184,H184)</f>
        <v>6.059550974290978E-16</v>
      </c>
      <c r="E184" s="95">
        <f>IF(H184="C","",K184)</f>
        <v>2E-12</v>
      </c>
      <c r="F184" s="96">
        <f>IF(H184="C","",U184)</f>
        <v>4.83</v>
      </c>
      <c r="G184" s="96">
        <f>IF(M184=0,"",M184)</f>
      </c>
      <c r="H184" s="39" t="s">
        <v>1859</v>
      </c>
      <c r="K184" s="116">
        <v>2E-12</v>
      </c>
      <c r="L184" s="41">
        <v>2430.555555555555</v>
      </c>
      <c r="M184" s="117">
        <v>0</v>
      </c>
      <c r="N184" s="116"/>
      <c r="O184" s="117"/>
      <c r="P184" s="118"/>
      <c r="Q184" s="117"/>
      <c r="S184" s="40">
        <f>IF(OR(H184="T",H184="C"),T184,IF(H184="F",(V184/(1+(V184/T184)))*Q184^(1/(1+((LOG10(V184/T184)/R184)^2))),IF(H184="S1",T184+V184,IF(H184="S2",T184+(V184/(1+(V184/#REF!))),""))))</f>
        <v>6.059550974290978E-16</v>
      </c>
      <c r="T184" s="40">
        <f>K184*EXP(-L184/T$4)*((T$4/300)^M184)</f>
        <v>6.059550974290978E-16</v>
      </c>
      <c r="U184" s="15">
        <f>L184*Rfac</f>
        <v>4.83</v>
      </c>
      <c r="V184" s="116"/>
      <c r="W184" s="116"/>
      <c r="X184" s="117"/>
      <c r="Y184" s="117"/>
      <c r="CU184" s="1" t="s">
        <v>327</v>
      </c>
      <c r="CX184" s="2">
        <f t="shared" si="15"/>
        <v>0</v>
      </c>
    </row>
    <row r="185" spans="2:102" ht="15">
      <c r="B185" s="49" t="s">
        <v>328</v>
      </c>
      <c r="C185" s="14" t="s">
        <v>329</v>
      </c>
      <c r="D185" s="95">
        <f>IF(OR(H185="T",H185="C"),S185,H185)</f>
        <v>1.4854029980508722E-11</v>
      </c>
      <c r="E185" s="95">
        <f>IF(H185="C","",K185)</f>
        <v>4.4E-12</v>
      </c>
      <c r="F185" s="96">
        <f>IF(H185="C","",U185)</f>
        <v>-0.7253280000000001</v>
      </c>
      <c r="G185" s="96">
        <f>IF(M185=0,"",M185)</f>
      </c>
      <c r="H185" s="39" t="s">
        <v>1859</v>
      </c>
      <c r="K185" s="116">
        <v>4.4E-12</v>
      </c>
      <c r="L185" s="120">
        <v>-365</v>
      </c>
      <c r="M185" s="117">
        <v>0</v>
      </c>
      <c r="N185" s="116"/>
      <c r="O185" s="117"/>
      <c r="P185" s="118"/>
      <c r="Q185" s="117"/>
      <c r="S185" s="40">
        <f t="shared" si="20"/>
        <v>1.4854029980508722E-11</v>
      </c>
      <c r="T185" s="40">
        <f>K185*EXP(-L185/T$4)*((T$4/300)^M185)</f>
        <v>1.4854029980508722E-11</v>
      </c>
      <c r="U185" s="15">
        <f>L185*Rfac</f>
        <v>-0.7253280000000001</v>
      </c>
      <c r="V185" s="116"/>
      <c r="W185" s="116"/>
      <c r="X185" s="117"/>
      <c r="Y185" s="117"/>
      <c r="CU185" s="1" t="s">
        <v>329</v>
      </c>
      <c r="CX185" s="2">
        <f t="shared" si="15"/>
        <v>0</v>
      </c>
    </row>
    <row r="186" spans="2:102" ht="15">
      <c r="B186" s="49" t="s">
        <v>330</v>
      </c>
      <c r="C186" s="14" t="s">
        <v>331</v>
      </c>
      <c r="D186" s="98" t="str">
        <f>IF(H186="P",CONCATENATE("Phot Set= ",I186,IF(J186=0,"",CONCATENATE(", qy= ",TEXT(J186,"0.0e+0")))),H186)</f>
        <v>Phot Set= CCHO_R</v>
      </c>
      <c r="E186" s="98"/>
      <c r="F186" s="98"/>
      <c r="G186" s="99"/>
      <c r="H186" s="39" t="s">
        <v>1856</v>
      </c>
      <c r="I186" s="49" t="s">
        <v>332</v>
      </c>
      <c r="K186" s="116" t="s">
        <v>1861</v>
      </c>
      <c r="L186" s="120"/>
      <c r="M186" s="117"/>
      <c r="N186" s="116"/>
      <c r="O186" s="117"/>
      <c r="P186" s="118"/>
      <c r="Q186" s="117"/>
      <c r="S186" s="40">
        <f t="shared" si="20"/>
      </c>
      <c r="T186" s="116"/>
      <c r="U186" s="117"/>
      <c r="V186" s="116"/>
      <c r="W186" s="116"/>
      <c r="X186" s="117"/>
      <c r="Y186" s="117"/>
      <c r="CU186" s="1" t="s">
        <v>331</v>
      </c>
      <c r="CX186" s="2">
        <f t="shared" si="15"/>
        <v>0</v>
      </c>
    </row>
    <row r="187" spans="2:102" ht="15">
      <c r="B187" s="49" t="s">
        <v>333</v>
      </c>
      <c r="C187" s="14" t="s">
        <v>334</v>
      </c>
      <c r="D187" s="95">
        <f>IF(OR(H187="T",H187="C"),S187,H187)</f>
        <v>2.841202890814028E-15</v>
      </c>
      <c r="E187" s="95">
        <f>IF(H187="C","",K187)</f>
        <v>1.4E-12</v>
      </c>
      <c r="F187" s="96">
        <f>IF(H187="C","",U187)</f>
        <v>3.6961920000000004</v>
      </c>
      <c r="G187" s="96">
        <f>IF(M187=0,"",M187)</f>
      </c>
      <c r="H187" s="39" t="s">
        <v>1859</v>
      </c>
      <c r="K187" s="116">
        <v>1.4E-12</v>
      </c>
      <c r="L187" s="120">
        <v>1860</v>
      </c>
      <c r="M187" s="117">
        <v>0</v>
      </c>
      <c r="N187" s="116"/>
      <c r="O187" s="117"/>
      <c r="P187" s="118"/>
      <c r="Q187" s="117"/>
      <c r="S187" s="40">
        <f>IF(OR(H187="T",H187="C"),T187,IF(H187="F",(V187/(1+(V187/T187)))*Q187^(1/(1+((LOG10(V187/T187)/R187)^2))),IF(H187="S1",T187+V187,IF(H187="S2",T187+(V187/(1+(V187/T252))),""))))</f>
        <v>2.841202890814028E-15</v>
      </c>
      <c r="T187" s="40">
        <f>K187*EXP(-L187/T$4)*((T$4/300)^M187)</f>
        <v>2.841202890814028E-15</v>
      </c>
      <c r="U187" s="15">
        <f>L187*Rfac</f>
        <v>3.6961920000000004</v>
      </c>
      <c r="V187" s="116"/>
      <c r="W187" s="116"/>
      <c r="X187" s="117"/>
      <c r="Y187" s="117"/>
      <c r="CU187" s="1" t="s">
        <v>334</v>
      </c>
      <c r="CX187" s="2">
        <f t="shared" si="15"/>
        <v>0</v>
      </c>
    </row>
    <row r="188" spans="2:102" ht="25.5">
      <c r="B188" s="49" t="s">
        <v>335</v>
      </c>
      <c r="C188" s="14" t="s">
        <v>342</v>
      </c>
      <c r="D188" s="95">
        <f>IF(OR(H188="T",H188="C"),S188,H188)</f>
        <v>1.9672870206554567E-11</v>
      </c>
      <c r="E188" s="95">
        <f>IF(H188="C","",K188)</f>
        <v>5.1E-12</v>
      </c>
      <c r="F188" s="96">
        <f>IF(H188="C","",U188)</f>
        <v>-0.8048160000000001</v>
      </c>
      <c r="G188" s="96">
        <f>IF(M188=0,"",M188)</f>
      </c>
      <c r="H188" s="39" t="s">
        <v>1859</v>
      </c>
      <c r="K188" s="116">
        <v>5.1E-12</v>
      </c>
      <c r="L188" s="120">
        <v>-405</v>
      </c>
      <c r="M188" s="117"/>
      <c r="N188" s="116"/>
      <c r="O188" s="117"/>
      <c r="P188" s="118"/>
      <c r="Q188" s="117"/>
      <c r="S188" s="40">
        <f t="shared" si="20"/>
        <v>1.9672870206554567E-11</v>
      </c>
      <c r="T188" s="40">
        <f>K188*EXP(-L188/T$4)*((T$4/300)^M188)</f>
        <v>1.9672870206554567E-11</v>
      </c>
      <c r="U188" s="15">
        <f>L188*Rfac</f>
        <v>-0.8048160000000001</v>
      </c>
      <c r="V188" s="116"/>
      <c r="W188" s="116"/>
      <c r="X188" s="117"/>
      <c r="Y188" s="117"/>
      <c r="CU188" s="1" t="s">
        <v>342</v>
      </c>
      <c r="CX188" s="2">
        <f t="shared" si="15"/>
        <v>0</v>
      </c>
    </row>
    <row r="189" spans="2:102" ht="25.5">
      <c r="B189" s="49" t="s">
        <v>337</v>
      </c>
      <c r="C189" s="14" t="s">
        <v>344</v>
      </c>
      <c r="D189" s="98" t="str">
        <f>IF(H189="P",CONCATENATE("Phot Set= ",I189,IF(J189=0,"",CONCATENATE(", qy= ",TEXT(J189,"0.0e+0")))),H189)</f>
        <v>Phot Set= C2CHO</v>
      </c>
      <c r="E189" s="98"/>
      <c r="F189" s="98"/>
      <c r="G189" s="99"/>
      <c r="H189" s="39" t="s">
        <v>1856</v>
      </c>
      <c r="I189" s="49" t="s">
        <v>345</v>
      </c>
      <c r="K189" s="116" t="s">
        <v>1861</v>
      </c>
      <c r="L189" s="120"/>
      <c r="M189" s="117"/>
      <c r="N189" s="116"/>
      <c r="O189" s="117"/>
      <c r="P189" s="118"/>
      <c r="Q189" s="117"/>
      <c r="S189" s="40">
        <f t="shared" si="20"/>
      </c>
      <c r="T189" s="116"/>
      <c r="U189" s="117"/>
      <c r="V189" s="116"/>
      <c r="W189" s="116"/>
      <c r="X189" s="117"/>
      <c r="Y189" s="117"/>
      <c r="CU189" s="1" t="s">
        <v>344</v>
      </c>
      <c r="CX189" s="2">
        <f t="shared" si="15"/>
        <v>0</v>
      </c>
    </row>
    <row r="190" spans="2:102" ht="15">
      <c r="B190" s="49" t="s">
        <v>339</v>
      </c>
      <c r="C190" s="14" t="s">
        <v>347</v>
      </c>
      <c r="D190" s="95">
        <f>IF(OR(H190="T",H190="C"),S190,H190)</f>
        <v>6.736637067093363E-15</v>
      </c>
      <c r="E190" s="95">
        <f>IF(H190="C","",K190)</f>
        <v>1.4E-12</v>
      </c>
      <c r="F190" s="96">
        <f>IF(H190="C","",U190)</f>
        <v>3.1815072000000004</v>
      </c>
      <c r="G190" s="96">
        <f>IF(M190=0,"",M190)</f>
      </c>
      <c r="H190" s="39" t="s">
        <v>1859</v>
      </c>
      <c r="K190" s="116">
        <v>1.4E-12</v>
      </c>
      <c r="L190" s="41">
        <v>1601</v>
      </c>
      <c r="M190" s="117"/>
      <c r="N190" s="116"/>
      <c r="O190" s="117"/>
      <c r="P190" s="118"/>
      <c r="Q190" s="117"/>
      <c r="S190" s="40">
        <f>IF(OR(H190="T",H190="C"),T190,IF(H190="F",(V190/(1+(V190/T190)))*Q190^(1/(1+((LOG10(V190/T190)/R190)^2))),IF(H190="S1",T190+V190,IF(H190="S2",T190+(V190/(1+(V190/#REF!))),""))))</f>
        <v>6.736637067093363E-15</v>
      </c>
      <c r="T190" s="40">
        <f>K190*EXP(-L190/T$4)*((T$4/300)^M190)</f>
        <v>6.736637067093363E-15</v>
      </c>
      <c r="U190" s="15">
        <f>L190*Rfac</f>
        <v>3.1815072000000004</v>
      </c>
      <c r="V190" s="116"/>
      <c r="W190" s="116"/>
      <c r="X190" s="117"/>
      <c r="Y190" s="117"/>
      <c r="CU190" s="1" t="s">
        <v>347</v>
      </c>
      <c r="CX190" s="2">
        <f t="shared" si="15"/>
        <v>0</v>
      </c>
    </row>
    <row r="191" spans="2:102" ht="25.5">
      <c r="B191" s="49" t="s">
        <v>341</v>
      </c>
      <c r="C191" s="14" t="s">
        <v>349</v>
      </c>
      <c r="D191" s="95">
        <f>IF(OR(H191="T",H191="C"),S191,H191)</f>
        <v>1.9059872469342345E-13</v>
      </c>
      <c r="E191" s="95">
        <f>IF(H191="C","",K191)</f>
        <v>4.561335071096453E-14</v>
      </c>
      <c r="F191" s="96">
        <f>IF(H191="C","",U191)</f>
        <v>-0.8524908244460376</v>
      </c>
      <c r="G191" s="96">
        <f>IF(M191=0,"",M191)</f>
        <v>3.645551849794702</v>
      </c>
      <c r="H191" s="39" t="s">
        <v>1859</v>
      </c>
      <c r="K191" s="116">
        <v>4.561335071096453E-14</v>
      </c>
      <c r="L191" s="120">
        <v>-428.99095433073546</v>
      </c>
      <c r="M191" s="117">
        <v>3.645551849794702</v>
      </c>
      <c r="N191" s="116"/>
      <c r="O191" s="117"/>
      <c r="P191" s="118"/>
      <c r="Q191" s="117"/>
      <c r="S191" s="40">
        <f t="shared" si="20"/>
        <v>1.9059872469342345E-13</v>
      </c>
      <c r="T191" s="40">
        <f>K191*EXP(-L191/T$4)*((T$4/300)^M191)</f>
        <v>1.9059872469342345E-13</v>
      </c>
      <c r="U191" s="15">
        <f>L191*Rfac</f>
        <v>-0.8524908244460376</v>
      </c>
      <c r="V191" s="116"/>
      <c r="W191" s="116"/>
      <c r="X191" s="117"/>
      <c r="Y191" s="117"/>
      <c r="CU191" s="1" t="s">
        <v>349</v>
      </c>
      <c r="CX191" s="2">
        <f t="shared" si="15"/>
        <v>0</v>
      </c>
    </row>
    <row r="192" spans="2:102" ht="25.5">
      <c r="B192" s="49" t="s">
        <v>343</v>
      </c>
      <c r="C192" s="14" t="s">
        <v>351</v>
      </c>
      <c r="D192" s="98" t="str">
        <f>IF(H192="P",CONCATENATE("Phot Set= ",I192,IF(J192=0,"",CONCATENATE(", qy= ",TEXT(J192,"0.0")))),H192)</f>
        <v>Phot Set= ACET-06, qy= 0.5</v>
      </c>
      <c r="E192" s="98"/>
      <c r="F192" s="98"/>
      <c r="G192" s="99"/>
      <c r="H192" s="39" t="s">
        <v>1856</v>
      </c>
      <c r="I192" s="49" t="s">
        <v>352</v>
      </c>
      <c r="J192" s="18">
        <v>0.5</v>
      </c>
      <c r="K192" s="116" t="s">
        <v>1861</v>
      </c>
      <c r="L192" s="120"/>
      <c r="M192" s="117"/>
      <c r="N192" s="116"/>
      <c r="O192" s="117"/>
      <c r="P192" s="118"/>
      <c r="Q192" s="117"/>
      <c r="S192" s="40">
        <f>IF(OR(H192="T",H192="C"),T192,IF(H192="F",(V192/(1+(V192/T192)))*Q192^(1/(1+((LOG10(V192/T192)/R192)^2))),IF(H192="S1",T192+V192,IF(H192="S2",T192+(V192/(1+(V192/#REF!))),""))))</f>
      </c>
      <c r="T192" s="116"/>
      <c r="U192" s="117"/>
      <c r="V192" s="116"/>
      <c r="W192" s="116"/>
      <c r="X192" s="117"/>
      <c r="Y192" s="117"/>
      <c r="CU192" s="1" t="s">
        <v>351</v>
      </c>
      <c r="CX192" s="2">
        <f t="shared" si="15"/>
        <v>0</v>
      </c>
    </row>
    <row r="193" spans="2:102" ht="51">
      <c r="B193" s="49" t="s">
        <v>346</v>
      </c>
      <c r="C193" s="14" t="s">
        <v>354</v>
      </c>
      <c r="D193" s="95">
        <f>IF(OR(H193="T",H193="C"),S193,H193)</f>
        <v>1.1960577390181201E-12</v>
      </c>
      <c r="E193" s="95">
        <f>IF(H193="C","",K193)</f>
        <v>1.3E-12</v>
      </c>
      <c r="F193" s="96">
        <f>IF(H193="C","",U193)</f>
        <v>0.04968</v>
      </c>
      <c r="G193" s="96">
        <f>IF(M193=0,"",M193)</f>
        <v>2</v>
      </c>
      <c r="H193" s="39" t="s">
        <v>1859</v>
      </c>
      <c r="K193" s="116">
        <v>1.3E-12</v>
      </c>
      <c r="L193" s="120">
        <v>25</v>
      </c>
      <c r="M193" s="117">
        <v>2</v>
      </c>
      <c r="N193" s="116"/>
      <c r="O193" s="117"/>
      <c r="P193" s="118"/>
      <c r="Q193" s="117"/>
      <c r="S193" s="40">
        <f t="shared" si="20"/>
        <v>1.1960577390181201E-12</v>
      </c>
      <c r="T193" s="40">
        <f>K193*EXP(-L193/T$4)*((T$4/300)^M193)</f>
        <v>1.1960577390181201E-12</v>
      </c>
      <c r="U193" s="15">
        <f>L193*Rfac</f>
        <v>0.04968</v>
      </c>
      <c r="V193" s="116"/>
      <c r="W193" s="116"/>
      <c r="X193" s="117"/>
      <c r="Y193" s="117"/>
      <c r="CU193" s="1" t="s">
        <v>354</v>
      </c>
      <c r="CX193" s="2">
        <f t="shared" si="15"/>
        <v>0</v>
      </c>
    </row>
    <row r="194" spans="2:102" ht="25.5">
      <c r="B194" s="49" t="s">
        <v>348</v>
      </c>
      <c r="C194" s="14" t="s">
        <v>356</v>
      </c>
      <c r="D194" s="98" t="str">
        <f>IF(H194="P",CONCATENATE("Phot Set= ",I194,IF(J194=0,"",CONCATENATE(", qy= ",TEXT(J194,"0.000")))),H194)</f>
        <v>Phot Set= MEK-06, qy= 0.175</v>
      </c>
      <c r="E194" s="98"/>
      <c r="F194" s="98"/>
      <c r="G194" s="99"/>
      <c r="H194" s="39" t="s">
        <v>1856</v>
      </c>
      <c r="I194" s="49" t="s">
        <v>357</v>
      </c>
      <c r="J194" s="18">
        <v>0.175</v>
      </c>
      <c r="K194" s="116" t="s">
        <v>1861</v>
      </c>
      <c r="L194" s="120"/>
      <c r="M194" s="117"/>
      <c r="N194" s="116"/>
      <c r="O194" s="117"/>
      <c r="P194" s="118"/>
      <c r="Q194" s="117"/>
      <c r="S194" s="40">
        <f>IF(OR(H194="T",H194="C"),T194,IF(H194="F",(V194/(1+(V194/T194)))*Q194^(1/(1+((LOG10(V194/T194)/R194)^2))),IF(H194="S1",T194+V194,IF(H194="S2",T194+(V194/(1+(V194/#REF!))),""))))</f>
      </c>
      <c r="T194" s="116"/>
      <c r="U194" s="117"/>
      <c r="V194" s="116"/>
      <c r="W194" s="116"/>
      <c r="X194" s="117"/>
      <c r="Y194" s="117"/>
      <c r="CU194" s="1" t="s">
        <v>356</v>
      </c>
      <c r="CX194" s="2">
        <f t="shared" si="15"/>
        <v>0</v>
      </c>
    </row>
    <row r="195" spans="2:102" ht="15">
      <c r="B195" s="49" t="s">
        <v>350</v>
      </c>
      <c r="C195" s="14" t="s">
        <v>359</v>
      </c>
      <c r="D195" s="95">
        <f>IF(OR(H195="T",H195="C"),S195,H195)</f>
        <v>9.024147927303019E-13</v>
      </c>
      <c r="E195" s="95">
        <f>IF(H195="C","",K195)</f>
        <v>2.85E-12</v>
      </c>
      <c r="F195" s="96">
        <f>IF(H195="C","",U195)</f>
        <v>0.6855840000000001</v>
      </c>
      <c r="G195" s="96">
        <f>IF(M195=0,"",M195)</f>
      </c>
      <c r="H195" s="39" t="s">
        <v>1859</v>
      </c>
      <c r="K195" s="116">
        <v>2.85E-12</v>
      </c>
      <c r="L195" s="120">
        <v>345</v>
      </c>
      <c r="M195" s="117">
        <v>0</v>
      </c>
      <c r="N195" s="116"/>
      <c r="O195" s="117"/>
      <c r="P195" s="118"/>
      <c r="Q195" s="117"/>
      <c r="S195" s="40">
        <f>IF(OR(H195="T",H195="C"),T195,IF(H195="F",(V195/(1+(V195/T195)))*Q195^(1/(1+((LOG10(V195/T195)/R195)^2))),IF(H195="S1",T195+V195,IF(H195="S2",T195+(V195/(1+(V195/#REF!))),""))))</f>
        <v>9.024147927303019E-13</v>
      </c>
      <c r="T195" s="40">
        <f>K195*EXP(-L195/T$4)*((T$4/300)^M195)</f>
        <v>9.024147927303019E-13</v>
      </c>
      <c r="U195" s="15">
        <f>L195*Rfac</f>
        <v>0.6855840000000001</v>
      </c>
      <c r="V195" s="116"/>
      <c r="W195" s="116"/>
      <c r="X195" s="117"/>
      <c r="Y195" s="117"/>
      <c r="CU195" s="1" t="s">
        <v>359</v>
      </c>
      <c r="CX195" s="2">
        <f t="shared" si="15"/>
        <v>0</v>
      </c>
    </row>
    <row r="196" spans="2:102" ht="15">
      <c r="B196" s="49" t="s">
        <v>353</v>
      </c>
      <c r="C196" s="14" t="s">
        <v>361</v>
      </c>
      <c r="D196" s="95">
        <f>IF(OR(H196="T",H196="C"),S196,H196)</f>
        <v>4.5E-13</v>
      </c>
      <c r="E196" s="95">
        <f>IF(H196="C","",K196)</f>
      </c>
      <c r="F196" s="96">
        <f>IF(H196="C","",U196)</f>
      </c>
      <c r="G196" s="96">
        <f>IF(M196=0,"",M196)</f>
      </c>
      <c r="H196" s="39" t="s">
        <v>1851</v>
      </c>
      <c r="K196" s="116">
        <v>4.5E-13</v>
      </c>
      <c r="L196" s="120"/>
      <c r="M196" s="117"/>
      <c r="N196" s="116"/>
      <c r="O196" s="117"/>
      <c r="P196" s="118"/>
      <c r="Q196" s="117"/>
      <c r="S196" s="40">
        <f>IF(OR(H196="T",H196="C"),T196,IF(H196="F",(V196/(1+(V196/T196)))*Q196^(1/(1+((LOG10(V196/T196)/R196)^2))),IF(H196="S1",T196+V196,IF(H196="S2",T196+(V196/(1+(V196/T199))),""))))</f>
        <v>4.5E-13</v>
      </c>
      <c r="T196" s="40">
        <f>K196*EXP(-L196/T$4)*((T$4/300)^M196)</f>
        <v>4.5E-13</v>
      </c>
      <c r="U196" s="15">
        <f>L196*Rfac</f>
        <v>0</v>
      </c>
      <c r="V196" s="116"/>
      <c r="W196" s="116"/>
      <c r="X196" s="117"/>
      <c r="Y196" s="117"/>
      <c r="CU196" s="1" t="s">
        <v>361</v>
      </c>
      <c r="CX196" s="2">
        <f t="shared" si="15"/>
        <v>0</v>
      </c>
    </row>
    <row r="197" spans="2:102" ht="38.25">
      <c r="B197" s="49" t="s">
        <v>355</v>
      </c>
      <c r="C197" s="14" t="s">
        <v>488</v>
      </c>
      <c r="D197" s="95">
        <f>IF(OR(H197="T",H197="C"),S197,H197)</f>
        <v>7.260868373038408E-13</v>
      </c>
      <c r="E197" s="95">
        <f>IF(H197="C","",K197)</f>
        <v>4.2E-14</v>
      </c>
      <c r="F197" s="96">
        <f>IF(H197="C","",U197)</f>
        <v>-1.6990560000000001</v>
      </c>
      <c r="G197" s="96"/>
      <c r="H197" s="39" t="s">
        <v>1859</v>
      </c>
      <c r="K197" s="116">
        <v>4.2E-14</v>
      </c>
      <c r="L197" s="120">
        <v>-855</v>
      </c>
      <c r="M197" s="117"/>
      <c r="N197" s="116"/>
      <c r="O197" s="117"/>
      <c r="P197" s="118"/>
      <c r="Q197" s="117"/>
      <c r="S197" s="40">
        <f>IF(OR(H197="T",H197="C"),T197,IF(H197="F",(V197/(1+(V197/T197)))*Q197^(1/(1+((LOG10(V197/T197)/R197)^2))),IF(H197="S1",T197+V197,IF(H197="S2",T197+(V197/(1+(V197/T200))),""))))</f>
        <v>7.260868373038408E-13</v>
      </c>
      <c r="T197" s="40">
        <f>K197*EXP(-L197/T$4)*((T$4/300)^M197)</f>
        <v>7.260868373038408E-13</v>
      </c>
      <c r="U197" s="15">
        <f>L197*Rfac</f>
        <v>-1.6990560000000001</v>
      </c>
      <c r="V197" s="116"/>
      <c r="W197" s="116"/>
      <c r="X197" s="117"/>
      <c r="Y197" s="117"/>
      <c r="CU197" s="1" t="s">
        <v>1763</v>
      </c>
      <c r="CX197" s="2">
        <f t="shared" si="15"/>
        <v>1</v>
      </c>
    </row>
    <row r="198" spans="2:102" ht="38.25">
      <c r="B198" s="49" t="s">
        <v>358</v>
      </c>
      <c r="C198" s="14" t="s">
        <v>364</v>
      </c>
      <c r="D198" s="95">
        <f>IF(OR(H198="T",H198="C"),S198,H198)</f>
        <v>1.2E-12</v>
      </c>
      <c r="E198" s="95">
        <f>IF(H198="C","",K198)</f>
      </c>
      <c r="F198" s="96">
        <f>IF(H198="C","",U198)</f>
      </c>
      <c r="G198" s="96"/>
      <c r="H198" s="39" t="s">
        <v>1851</v>
      </c>
      <c r="K198" s="116">
        <v>1.2E-12</v>
      </c>
      <c r="L198" s="120"/>
      <c r="M198" s="117"/>
      <c r="N198" s="116"/>
      <c r="O198" s="117"/>
      <c r="P198" s="118"/>
      <c r="Q198" s="117"/>
      <c r="S198" s="40">
        <f>IF(OR(H198="T",H198="C"),T198,IF(H198="F",(V198/(1+(V198/T198)))*Q198^(1/(1+((LOG10(V198/T198)/R198)^2))),IF(H198="S1",T198+V198,IF(H198="S2",T198+(V198/(1+(V198/#REF!))),""))))</f>
        <v>1.2E-12</v>
      </c>
      <c r="T198" s="40">
        <f>K198*EXP(-L198/T$4)*((T$4/300)^M198)</f>
        <v>1.2E-12</v>
      </c>
      <c r="U198" s="15">
        <f>L198*Rfac</f>
        <v>0</v>
      </c>
      <c r="V198" s="116"/>
      <c r="W198" s="116"/>
      <c r="X198" s="117"/>
      <c r="Y198" s="117"/>
      <c r="CU198" s="1" t="s">
        <v>364</v>
      </c>
      <c r="CX198" s="2">
        <f t="shared" si="15"/>
        <v>0</v>
      </c>
    </row>
    <row r="199" spans="2:102" ht="25.5">
      <c r="B199" s="49" t="s">
        <v>360</v>
      </c>
      <c r="C199" s="14" t="s">
        <v>1046</v>
      </c>
      <c r="D199" s="95">
        <f>IF(OR(H199="T",H199="C"),S199,H199)</f>
        <v>7.401389356007768E-12</v>
      </c>
      <c r="E199" s="95">
        <f>IF(H199="C","",K199)</f>
        <v>3.8E-12</v>
      </c>
      <c r="F199" s="96">
        <f>IF(H199="C","",U199)</f>
        <v>-0.39744</v>
      </c>
      <c r="G199" s="96">
        <f>IF(M199=0,"",M199)</f>
      </c>
      <c r="H199" s="39" t="s">
        <v>1859</v>
      </c>
      <c r="K199" s="116">
        <v>3.8E-12</v>
      </c>
      <c r="L199" s="120">
        <v>-200</v>
      </c>
      <c r="M199" s="117"/>
      <c r="N199" s="116"/>
      <c r="O199" s="117"/>
      <c r="P199" s="118"/>
      <c r="Q199" s="117"/>
      <c r="S199" s="40">
        <f>IF(OR(H199="T",H199="C"),T199,IF(H199="F",(V199/(1+(V199/T199)))*Q199^(1/(1+((LOG10(V199/T199)/R199)^2))),IF(H199="S1",T199+V199,IF(H199="S2",T199+(V199/(1+(V199/T200))),""))))</f>
        <v>7.401389356007768E-12</v>
      </c>
      <c r="T199" s="40">
        <f>K199*EXP(-L199/T$4)*((T$4/300)^M199)</f>
        <v>7.401389356007768E-12</v>
      </c>
      <c r="U199" s="15">
        <f>L199*Rfac</f>
        <v>-0.39744</v>
      </c>
      <c r="V199" s="116"/>
      <c r="W199" s="116"/>
      <c r="X199" s="117"/>
      <c r="Y199" s="117"/>
      <c r="CU199" s="1" t="s">
        <v>1046</v>
      </c>
      <c r="CX199" s="2">
        <f aca="true" t="shared" si="21" ref="CX199:CX262">IF(CU199=C199,0,1)</f>
        <v>0</v>
      </c>
    </row>
    <row r="200" spans="2:102" ht="15">
      <c r="B200" s="49" t="s">
        <v>362</v>
      </c>
      <c r="C200" s="14" t="s">
        <v>367</v>
      </c>
      <c r="D200" s="98" t="str">
        <f>IF(H200="P",CONCATENATE("Phot Set= ",I200,IF(J200=0,"",CONCATENATE(", qy= ",TEXT(J200,"0.0e+0")))),H200)</f>
        <v>Phot Set= COOH</v>
      </c>
      <c r="E200" s="98"/>
      <c r="F200" s="98"/>
      <c r="G200" s="99"/>
      <c r="H200" s="39" t="s">
        <v>1856</v>
      </c>
      <c r="I200" s="49" t="s">
        <v>1497</v>
      </c>
      <c r="K200" s="116" t="s">
        <v>1861</v>
      </c>
      <c r="L200" s="120"/>
      <c r="M200" s="117"/>
      <c r="N200" s="116"/>
      <c r="O200" s="117"/>
      <c r="P200" s="118"/>
      <c r="Q200" s="117"/>
      <c r="S200" s="40">
        <f>IF(OR(H200="T",H200="C"),T200,IF(H200="F",(V200/(1+(V200/T200)))*Q200^(1/(1+((LOG10(V200/T200)/R200)^2))),IF(H200="S1",T200+V200,IF(H200="S2",T200+(V200/(1+(V200/#REF!))),""))))</f>
      </c>
      <c r="T200" s="116"/>
      <c r="U200" s="117"/>
      <c r="V200" s="116"/>
      <c r="W200" s="116"/>
      <c r="X200" s="117"/>
      <c r="Y200" s="117"/>
      <c r="CU200" s="1" t="s">
        <v>367</v>
      </c>
      <c r="CX200" s="2">
        <f t="shared" si="21"/>
        <v>0</v>
      </c>
    </row>
    <row r="201" spans="2:102" ht="63.75">
      <c r="B201" s="49" t="s">
        <v>363</v>
      </c>
      <c r="C201" s="14" t="s">
        <v>1047</v>
      </c>
      <c r="D201" s="95">
        <f>IF(OR(H201="T",H201="C"),S201,H201)</f>
        <v>2.5E-11</v>
      </c>
      <c r="E201" s="95">
        <f>IF(H201="C","",K201)</f>
      </c>
      <c r="F201" s="96">
        <f>IF(H201="C","",U201)</f>
      </c>
      <c r="G201" s="96">
        <f>IF(M201=0,"",M201)</f>
      </c>
      <c r="H201" s="39" t="s">
        <v>1851</v>
      </c>
      <c r="K201" s="116">
        <v>2.5E-11</v>
      </c>
      <c r="L201" s="120"/>
      <c r="M201" s="117"/>
      <c r="N201" s="116"/>
      <c r="O201" s="117"/>
      <c r="P201" s="118"/>
      <c r="Q201" s="117"/>
      <c r="S201" s="40">
        <f>IF(OR(H201="T",H201="C"),T201,IF(H201="F",(V201/(1+(V201/T201)))*Q201^(1/(1+((LOG10(V201/T201)/R201)^2))),IF(H201="S1",T201+V201,IF(H201="S2",T201+(V201/(1+(V201/T202))),""))))</f>
        <v>2.5E-11</v>
      </c>
      <c r="T201" s="40">
        <f>K201*EXP(-L201/T$4)*((T$4/300)^M201)</f>
        <v>2.5E-11</v>
      </c>
      <c r="U201" s="117"/>
      <c r="V201" s="116"/>
      <c r="W201" s="116"/>
      <c r="X201" s="117"/>
      <c r="Y201" s="117"/>
      <c r="CU201" s="1" t="s">
        <v>1047</v>
      </c>
      <c r="CX201" s="2">
        <f t="shared" si="21"/>
        <v>0</v>
      </c>
    </row>
    <row r="202" spans="2:102" ht="15">
      <c r="B202" s="49" t="s">
        <v>365</v>
      </c>
      <c r="C202" s="14" t="s">
        <v>370</v>
      </c>
      <c r="D202" s="98" t="str">
        <f>IF(H202="P",CONCATENATE("Phot Set= ",I202,IF(J202=0,"",CONCATENATE(", qy= ",TEXT(J202,"0.0e+0")))),H202)</f>
        <v>Phot Set= COOH</v>
      </c>
      <c r="E202" s="98"/>
      <c r="F202" s="98"/>
      <c r="G202" s="99"/>
      <c r="H202" s="39" t="s">
        <v>1856</v>
      </c>
      <c r="I202" s="49" t="s">
        <v>1497</v>
      </c>
      <c r="K202" s="116" t="s">
        <v>1861</v>
      </c>
      <c r="L202" s="120"/>
      <c r="M202" s="117"/>
      <c r="N202" s="116"/>
      <c r="O202" s="117"/>
      <c r="P202" s="118"/>
      <c r="Q202" s="117"/>
      <c r="S202" s="40">
        <f>IF(OR(H202="T",H202="C"),T202,IF(H202="F",(V202/(1+(V202/T202)))*Q202^(1/(1+((LOG10(V202/T202)/R202)^2))),IF(H202="S1",T202+V202,IF(H202="S2",T202+(V202/(1+(V202/#REF!))),""))))</f>
      </c>
      <c r="T202" s="116"/>
      <c r="U202" s="117"/>
      <c r="V202" s="116"/>
      <c r="W202" s="116"/>
      <c r="X202" s="117"/>
      <c r="Y202" s="117"/>
      <c r="CU202" s="1" t="s">
        <v>370</v>
      </c>
      <c r="CX202" s="2">
        <f t="shared" si="21"/>
        <v>0</v>
      </c>
    </row>
    <row r="203" spans="2:102" ht="63.75">
      <c r="B203" s="49" t="s">
        <v>366</v>
      </c>
      <c r="C203" s="14" t="s">
        <v>1048</v>
      </c>
      <c r="D203" s="95">
        <f>IF(OR(H203="T",H203="C"),S203,H203)</f>
        <v>5.6E-11</v>
      </c>
      <c r="E203" s="95">
        <f>IF(H203="C","",K203)</f>
      </c>
      <c r="F203" s="96">
        <f>IF(H203="C","",U203)</f>
      </c>
      <c r="G203" s="96">
        <f>IF(M203=0,"",M203)</f>
      </c>
      <c r="H203" s="39" t="s">
        <v>1851</v>
      </c>
      <c r="K203" s="116">
        <v>5.6E-11</v>
      </c>
      <c r="L203" s="120"/>
      <c r="M203" s="117"/>
      <c r="N203" s="116"/>
      <c r="O203" s="117"/>
      <c r="P203" s="118"/>
      <c r="Q203" s="117"/>
      <c r="S203" s="40">
        <f>IF(OR(H203="T",H203="C"),T203,IF(H203="F",(V203/(1+(V203/T203)))*Q203^(1/(1+((LOG10(V203/T203)/R203)^2))),IF(H203="S1",T203+V203,IF(H203="S2",T203+(V203/(1+(V203/T204))),""))))</f>
        <v>5.6E-11</v>
      </c>
      <c r="T203" s="40">
        <f>K203*EXP(-L203/T$4)*((T$4/300)^M203)</f>
        <v>5.6E-11</v>
      </c>
      <c r="U203" s="117"/>
      <c r="V203" s="116"/>
      <c r="W203" s="116"/>
      <c r="X203" s="117"/>
      <c r="Y203" s="117"/>
      <c r="CU203" s="1" t="s">
        <v>1048</v>
      </c>
      <c r="CX203" s="2">
        <f t="shared" si="21"/>
        <v>0</v>
      </c>
    </row>
    <row r="204" spans="2:102" ht="63.75">
      <c r="B204" s="49" t="s">
        <v>368</v>
      </c>
      <c r="C204" s="14" t="s">
        <v>373</v>
      </c>
      <c r="D204" s="98" t="str">
        <f>IF(H204="P",CONCATENATE("Phot Set= ",I204,IF(J204=0,"",CONCATENATE(", qy= ",TEXT(J204,"0.0e+0")))),H204)</f>
        <v>Phot Set= COOH</v>
      </c>
      <c r="E204" s="98"/>
      <c r="F204" s="98"/>
      <c r="G204" s="99"/>
      <c r="H204" s="39" t="s">
        <v>1856</v>
      </c>
      <c r="I204" s="49" t="s">
        <v>1497</v>
      </c>
      <c r="K204" s="116"/>
      <c r="L204" s="120"/>
      <c r="M204" s="117"/>
      <c r="N204" s="116"/>
      <c r="O204" s="117"/>
      <c r="P204" s="118"/>
      <c r="Q204" s="117"/>
      <c r="S204" s="40"/>
      <c r="T204" s="116"/>
      <c r="U204" s="117"/>
      <c r="V204" s="116"/>
      <c r="W204" s="116"/>
      <c r="X204" s="117"/>
      <c r="Y204" s="117"/>
      <c r="CU204" s="1" t="s">
        <v>373</v>
      </c>
      <c r="CX204" s="2">
        <f t="shared" si="21"/>
        <v>0</v>
      </c>
    </row>
    <row r="205" spans="2:102" ht="89.25">
      <c r="B205" s="49" t="s">
        <v>369</v>
      </c>
      <c r="C205" s="14" t="s">
        <v>1049</v>
      </c>
      <c r="D205" s="95">
        <f>IF(OR(H205="T",H205="C"),S205,H205)</f>
        <v>1.41E-10</v>
      </c>
      <c r="E205" s="95">
        <f>IF(H205="C","",K205)</f>
      </c>
      <c r="F205" s="96">
        <f>IF(H205="C","",U205)</f>
      </c>
      <c r="G205" s="96">
        <f>IF(M205=0,"",M205)</f>
      </c>
      <c r="H205" s="39" t="s">
        <v>1851</v>
      </c>
      <c r="K205" s="116">
        <v>1.41E-10</v>
      </c>
      <c r="L205" s="120"/>
      <c r="M205" s="117"/>
      <c r="N205" s="116"/>
      <c r="O205" s="117"/>
      <c r="P205" s="118"/>
      <c r="Q205" s="117"/>
      <c r="S205" s="40">
        <f>IF(OR(H205="T",H205="C"),T205,IF(H205="F",(V205/(1+(V205/T205)))*Q205^(1/(1+((LOG10(V205/T205)/R205)^2))),IF(H205="S1",T205+V205,IF(H205="S2",T205+(V205/(1+(V205/T206))),""))))</f>
        <v>1.41E-10</v>
      </c>
      <c r="T205" s="40">
        <f>K205*EXP(-L205/T$4)*((T$4/300)^M205)</f>
        <v>1.41E-10</v>
      </c>
      <c r="U205" s="117"/>
      <c r="V205" s="116"/>
      <c r="W205" s="116"/>
      <c r="X205" s="117"/>
      <c r="Y205" s="117"/>
      <c r="CU205" s="1" t="s">
        <v>1049</v>
      </c>
      <c r="CX205" s="2">
        <f t="shared" si="21"/>
        <v>0</v>
      </c>
    </row>
    <row r="206" spans="2:102" ht="25.5">
      <c r="B206" s="49" t="s">
        <v>371</v>
      </c>
      <c r="C206" s="14" t="s">
        <v>376</v>
      </c>
      <c r="D206" s="98" t="str">
        <f>IF(H206="P",CONCATENATE("Phot Set= ",I206,IF(J206=0,"",CONCATENATE(", qy= ",TEXT(J206,"0.0e+0")))),H206)</f>
        <v>Phot Set= COOH</v>
      </c>
      <c r="E206" s="98"/>
      <c r="F206" s="98"/>
      <c r="G206" s="99"/>
      <c r="H206" s="39" t="s">
        <v>1856</v>
      </c>
      <c r="I206" s="49" t="s">
        <v>1497</v>
      </c>
      <c r="K206" s="116"/>
      <c r="L206" s="120"/>
      <c r="M206" s="117"/>
      <c r="N206" s="116"/>
      <c r="O206" s="117"/>
      <c r="P206" s="118"/>
      <c r="Q206" s="117"/>
      <c r="S206" s="40"/>
      <c r="T206" s="116"/>
      <c r="U206" s="117"/>
      <c r="V206" s="116"/>
      <c r="W206" s="116"/>
      <c r="X206" s="117"/>
      <c r="Y206" s="117"/>
      <c r="CU206" s="1" t="s">
        <v>376</v>
      </c>
      <c r="CX206" s="2">
        <f t="shared" si="21"/>
        <v>0</v>
      </c>
    </row>
    <row r="207" spans="2:102" ht="15">
      <c r="B207" s="49" t="s">
        <v>372</v>
      </c>
      <c r="C207" s="14" t="s">
        <v>378</v>
      </c>
      <c r="D207" s="98" t="str">
        <f>IF(H207="P",CONCATENATE("Phot Set= ",I207,IF(J207=0,"",CONCATENATE(", qy= ",TEXT(J207,"0.0e+0")))),H207)</f>
        <v>Phot Set= GLY-07R</v>
      </c>
      <c r="E207" s="98"/>
      <c r="F207" s="98"/>
      <c r="G207" s="99"/>
      <c r="H207" s="39" t="s">
        <v>1856</v>
      </c>
      <c r="I207" s="49" t="s">
        <v>379</v>
      </c>
      <c r="K207" s="116" t="s">
        <v>1861</v>
      </c>
      <c r="L207" s="120"/>
      <c r="M207" s="117"/>
      <c r="N207" s="116"/>
      <c r="O207" s="117"/>
      <c r="P207" s="118"/>
      <c r="Q207" s="117"/>
      <c r="S207" s="40">
        <f aca="true" t="shared" si="22" ref="S207:S212">IF(OR(H207="T",H207="C"),T207,IF(H207="F",(V207/(1+(V207/T207)))*Q207^(1/(1+((LOG10(V207/T207)/R207)^2))),IF(H207="S1",T207+V207,IF(H207="S2",T207+(V207/(1+(V207/T208))),""))))</f>
      </c>
      <c r="T207" s="116"/>
      <c r="U207" s="117"/>
      <c r="V207" s="116"/>
      <c r="W207" s="116"/>
      <c r="X207" s="117"/>
      <c r="Y207" s="117"/>
      <c r="CU207" s="1" t="s">
        <v>378</v>
      </c>
      <c r="CX207" s="2">
        <f t="shared" si="21"/>
        <v>0</v>
      </c>
    </row>
    <row r="208" spans="2:102" ht="15">
      <c r="B208" s="49" t="s">
        <v>374</v>
      </c>
      <c r="C208" s="14" t="s">
        <v>381</v>
      </c>
      <c r="D208" s="98" t="str">
        <f>IF(H208="P",CONCATENATE("Phot Set= ",I208,IF(J208=0,"",CONCATENATE(", qy= ",TEXT(J208,"0.0e+0")))),H208)</f>
        <v>Phot Set= GLY-07M</v>
      </c>
      <c r="E208" s="98"/>
      <c r="F208" s="98"/>
      <c r="G208" s="99"/>
      <c r="H208" s="39" t="s">
        <v>1856</v>
      </c>
      <c r="I208" s="49" t="s">
        <v>382</v>
      </c>
      <c r="K208" s="116" t="s">
        <v>1861</v>
      </c>
      <c r="L208" s="120"/>
      <c r="M208" s="117"/>
      <c r="N208" s="116"/>
      <c r="O208" s="117"/>
      <c r="P208" s="118"/>
      <c r="Q208" s="117"/>
      <c r="S208" s="40">
        <f t="shared" si="22"/>
      </c>
      <c r="T208" s="116"/>
      <c r="U208" s="117"/>
      <c r="V208" s="116"/>
      <c r="W208" s="116"/>
      <c r="X208" s="117"/>
      <c r="Y208" s="117"/>
      <c r="CU208" s="1" t="s">
        <v>381</v>
      </c>
      <c r="CX208" s="2">
        <f t="shared" si="21"/>
        <v>0</v>
      </c>
    </row>
    <row r="209" spans="2:102" ht="25.5">
      <c r="B209" s="49" t="s">
        <v>375</v>
      </c>
      <c r="C209" s="14" t="s">
        <v>384</v>
      </c>
      <c r="D209" s="95">
        <f>IF(OR(H209="T",H209="C"),S209,H209)</f>
        <v>1.1E-11</v>
      </c>
      <c r="E209" s="95">
        <f>IF(H209="C","",K209)</f>
      </c>
      <c r="F209" s="96">
        <f>IF(H209="C","",U209)</f>
      </c>
      <c r="G209" s="96">
        <f>IF(M209=0,"",M209)</f>
      </c>
      <c r="H209" s="39" t="s">
        <v>1851</v>
      </c>
      <c r="K209" s="116">
        <v>1.1E-11</v>
      </c>
      <c r="L209" s="120"/>
      <c r="M209" s="117"/>
      <c r="N209" s="116"/>
      <c r="O209" s="117"/>
      <c r="P209" s="118"/>
      <c r="Q209" s="117"/>
      <c r="S209" s="40">
        <f t="shared" si="22"/>
        <v>1.1E-11</v>
      </c>
      <c r="T209" s="40">
        <f>K209*EXP(-L209/T$4)*((T$4/300)^M209)</f>
        <v>1.1E-11</v>
      </c>
      <c r="U209" s="117"/>
      <c r="V209" s="116"/>
      <c r="W209" s="116"/>
      <c r="X209" s="117"/>
      <c r="Y209" s="117"/>
      <c r="CU209" s="1" t="s">
        <v>384</v>
      </c>
      <c r="CX209" s="2">
        <f t="shared" si="21"/>
        <v>0</v>
      </c>
    </row>
    <row r="210" spans="2:102" ht="25.5">
      <c r="B210" s="49" t="s">
        <v>377</v>
      </c>
      <c r="C210" s="14" t="s">
        <v>386</v>
      </c>
      <c r="D210" s="95">
        <f>IF(OR(H210="T",H210="C"),S210,H210)</f>
        <v>1.0160045462010844E-15</v>
      </c>
      <c r="E210" s="95">
        <f>IF(H210="C","",K210)</f>
        <v>2.8E-12</v>
      </c>
      <c r="F210" s="96">
        <f>IF(H210="C","",U210)</f>
        <v>4.722479575455737</v>
      </c>
      <c r="G210" s="96">
        <f>IF(M210=0,"",M210)</f>
      </c>
      <c r="H210" s="39" t="s">
        <v>1859</v>
      </c>
      <c r="K210" s="116">
        <v>2.8E-12</v>
      </c>
      <c r="L210" s="41">
        <v>2376.449061722895</v>
      </c>
      <c r="M210" s="117"/>
      <c r="N210" s="116"/>
      <c r="O210" s="117"/>
      <c r="P210" s="118"/>
      <c r="Q210" s="117"/>
      <c r="S210" s="40">
        <f>IF(OR(H210="T",H210="C"),T210,IF(H210="F",(V210/(1+(V210/T210)))*Q210^(1/(1+((LOG10(V210/T210)/R210)^2))),IF(H210="S1",T210+V210,IF(H210="S2",T210+(V210/(1+(V210/#REF!))),""))))</f>
        <v>1.0160045462010844E-15</v>
      </c>
      <c r="T210" s="40">
        <f>K210*EXP(-L210/T$4)*((T$4/300)^M210)</f>
        <v>1.0160045462010844E-15</v>
      </c>
      <c r="U210" s="15">
        <f>L210*Rfac</f>
        <v>4.722479575455737</v>
      </c>
      <c r="V210" s="116"/>
      <c r="W210" s="116"/>
      <c r="X210" s="117"/>
      <c r="Y210" s="117"/>
      <c r="CU210" s="1" t="s">
        <v>386</v>
      </c>
      <c r="CX210" s="2">
        <f t="shared" si="21"/>
        <v>0</v>
      </c>
    </row>
    <row r="211" spans="2:102" ht="15">
      <c r="B211" s="49" t="s">
        <v>380</v>
      </c>
      <c r="C211" s="14" t="s">
        <v>388</v>
      </c>
      <c r="D211" s="98" t="str">
        <f>IF(H211="P",CONCATENATE("Phot Set= ",I211,IF(J211=0,"",CONCATENATE(", qy= ",TEXT(J211,"0.0e+0")))),H211)</f>
        <v>Phot Set= MGLY-06</v>
      </c>
      <c r="E211" s="98"/>
      <c r="F211" s="98"/>
      <c r="G211" s="99"/>
      <c r="H211" s="39" t="s">
        <v>1856</v>
      </c>
      <c r="I211" s="49" t="s">
        <v>389</v>
      </c>
      <c r="K211" s="116" t="s">
        <v>1861</v>
      </c>
      <c r="L211" s="120"/>
      <c r="M211" s="117"/>
      <c r="N211" s="116"/>
      <c r="O211" s="117"/>
      <c r="P211" s="118"/>
      <c r="Q211" s="117"/>
      <c r="S211" s="40">
        <f t="shared" si="22"/>
      </c>
      <c r="T211" s="116"/>
      <c r="U211" s="117"/>
      <c r="V211" s="116"/>
      <c r="W211" s="116"/>
      <c r="X211" s="117"/>
      <c r="Y211" s="117"/>
      <c r="CU211" s="1" t="s">
        <v>388</v>
      </c>
      <c r="CX211" s="2">
        <f t="shared" si="21"/>
        <v>0</v>
      </c>
    </row>
    <row r="212" spans="2:102" ht="15">
      <c r="B212" s="49" t="s">
        <v>383</v>
      </c>
      <c r="C212" s="14" t="s">
        <v>391</v>
      </c>
      <c r="D212" s="95">
        <f>IF(OR(H212="T",H212="C"),S212,H212)</f>
        <v>1.5E-11</v>
      </c>
      <c r="E212" s="95">
        <f>IF(H212="C","",K212)</f>
      </c>
      <c r="F212" s="96">
        <f>IF(H212="C","",U212)</f>
      </c>
      <c r="G212" s="96">
        <f>IF(M212=0,"",M212)</f>
      </c>
      <c r="H212" s="39" t="s">
        <v>1851</v>
      </c>
      <c r="K212" s="116">
        <v>1.5E-11</v>
      </c>
      <c r="L212" s="120"/>
      <c r="M212" s="117"/>
      <c r="N212" s="116"/>
      <c r="O212" s="117"/>
      <c r="P212" s="118"/>
      <c r="Q212" s="117"/>
      <c r="S212" s="40">
        <f t="shared" si="22"/>
        <v>1.5E-11</v>
      </c>
      <c r="T212" s="40">
        <f>K212*EXP(-L212/T$4)*((T$4/300)^M212)</f>
        <v>1.5E-11</v>
      </c>
      <c r="U212" s="117"/>
      <c r="V212" s="116"/>
      <c r="W212" s="116"/>
      <c r="X212" s="117"/>
      <c r="Y212" s="117"/>
      <c r="CU212" s="1" t="s">
        <v>391</v>
      </c>
      <c r="CX212" s="2">
        <f t="shared" si="21"/>
        <v>0</v>
      </c>
    </row>
    <row r="213" spans="2:102" ht="15">
      <c r="B213" s="49" t="s">
        <v>385</v>
      </c>
      <c r="C213" s="14" t="s">
        <v>393</v>
      </c>
      <c r="D213" s="95">
        <f>IF(OR(H213="T",H213="C"),S213,H213)</f>
        <v>2.5300038664959735E-15</v>
      </c>
      <c r="E213" s="95">
        <f>IF(H213="C","",K213)</f>
        <v>1.4E-12</v>
      </c>
      <c r="F213" s="96">
        <f>IF(H213="C","",U213)</f>
        <v>3.7653505450946008</v>
      </c>
      <c r="G213" s="96">
        <f>IF(M213=0,"",M213)</f>
      </c>
      <c r="H213" s="39" t="s">
        <v>1859</v>
      </c>
      <c r="K213" s="116">
        <v>1.4E-12</v>
      </c>
      <c r="L213" s="41">
        <v>1894.8020053817434</v>
      </c>
      <c r="M213" s="117"/>
      <c r="N213" s="116"/>
      <c r="O213" s="117"/>
      <c r="P213" s="118"/>
      <c r="Q213" s="117"/>
      <c r="S213" s="40">
        <f>IF(OR(H213="T",H213="C"),T213,IF(H213="F",(V213/(1+(V213/T213)))*Q213^(1/(1+((LOG10(V213/T213)/R213)^2))),IF(H213="S1",T213+V213,IF(H213="S2",T213+(V213/(1+(V213/#REF!))),""))))</f>
        <v>2.5300038664959735E-15</v>
      </c>
      <c r="T213" s="40">
        <f>K213*EXP(-L213/T$4)*((T$4/300)^M213)</f>
        <v>2.5300038664959735E-15</v>
      </c>
      <c r="U213" s="15">
        <f>L213*Rfac</f>
        <v>3.7653505450946008</v>
      </c>
      <c r="V213" s="116"/>
      <c r="W213" s="116"/>
      <c r="X213" s="117"/>
      <c r="Y213" s="117"/>
      <c r="CU213" s="1" t="s">
        <v>393</v>
      </c>
      <c r="CX213" s="2">
        <f t="shared" si="21"/>
        <v>0</v>
      </c>
    </row>
    <row r="214" spans="2:102" ht="15">
      <c r="B214" s="49" t="s">
        <v>387</v>
      </c>
      <c r="C214" s="14" t="s">
        <v>395</v>
      </c>
      <c r="D214" s="98" t="str">
        <f>IF(H214="P",CONCATENATE("Phot Set= ",I214,IF(J214=0,"",CONCATENATE(", qy= ",TEXT(J214,"0.0e+0")))),H214)</f>
        <v>Phot Set= BACL-07</v>
      </c>
      <c r="E214" s="98"/>
      <c r="F214" s="98"/>
      <c r="G214" s="99"/>
      <c r="H214" s="39" t="s">
        <v>1856</v>
      </c>
      <c r="I214" s="49" t="s">
        <v>396</v>
      </c>
      <c r="K214" s="116" t="s">
        <v>1861</v>
      </c>
      <c r="L214" s="120"/>
      <c r="M214" s="117"/>
      <c r="N214" s="116"/>
      <c r="O214" s="117"/>
      <c r="P214" s="118"/>
      <c r="Q214" s="117"/>
      <c r="S214" s="40">
        <f>IF(OR(H214="T",H214="C"),T214,IF(H214="F",(V214/(1+(V214/T214)))*Q214^(1/(1+((LOG10(V214/T214)/R214)^2))),IF(H214="S1",T214+V214,IF(H214="S2",T214+(V214/(1+(V214/#REF!))),""))))</f>
      </c>
      <c r="T214" s="116"/>
      <c r="U214" s="117"/>
      <c r="V214" s="116"/>
      <c r="W214" s="116"/>
      <c r="X214" s="117"/>
      <c r="Y214" s="117"/>
      <c r="CU214" s="1" t="s">
        <v>395</v>
      </c>
      <c r="CX214" s="2">
        <f t="shared" si="21"/>
        <v>0</v>
      </c>
    </row>
    <row r="215" spans="2:102" ht="25.5">
      <c r="B215" s="49" t="s">
        <v>390</v>
      </c>
      <c r="C215" s="14" t="s">
        <v>398</v>
      </c>
      <c r="D215" s="95">
        <f>IF(OR(H215="T",H215="C"),S215,H215)</f>
        <v>4.033803892674877E-11</v>
      </c>
      <c r="E215" s="95">
        <f>IF(H215="C","",K215)</f>
        <v>1.7E-12</v>
      </c>
      <c r="F215" s="96">
        <f>IF(H215="C","",U215)</f>
        <v>-1.8878400000000002</v>
      </c>
      <c r="G215" s="96">
        <f>IF(M215=0,"",M215)</f>
      </c>
      <c r="H215" s="39" t="s">
        <v>1859</v>
      </c>
      <c r="K215" s="116">
        <v>1.7E-12</v>
      </c>
      <c r="L215" s="120">
        <v>-950</v>
      </c>
      <c r="M215" s="117"/>
      <c r="N215" s="116"/>
      <c r="O215" s="117"/>
      <c r="P215" s="118"/>
      <c r="Q215" s="117"/>
      <c r="S215" s="40">
        <f>IF(OR(H215="T",H215="C"),T215,IF(H215="F",(V215/(1+(V215/T215)))*Q215^(1/(1+((LOG10(V215/T215)/R215)^2))),IF(H215="S1",T215+V215,IF(H215="S2",T215+(V215/(1+(V215/T216))),""))))</f>
        <v>4.033803892674877E-11</v>
      </c>
      <c r="T215" s="40">
        <f>K215*EXP(-L215/T$4)*((T$4/300)^M215)</f>
        <v>4.033803892674877E-11</v>
      </c>
      <c r="U215" s="15">
        <f>L215*Rfac</f>
        <v>-1.8878400000000002</v>
      </c>
      <c r="V215" s="116"/>
      <c r="W215" s="116"/>
      <c r="X215" s="117"/>
      <c r="Y215" s="117"/>
      <c r="CU215" s="1" t="s">
        <v>398</v>
      </c>
      <c r="CX215" s="2">
        <f t="shared" si="21"/>
        <v>0</v>
      </c>
    </row>
    <row r="216" spans="2:102" ht="15">
      <c r="B216" s="49" t="s">
        <v>392</v>
      </c>
      <c r="C216" s="14" t="s">
        <v>400</v>
      </c>
      <c r="D216" s="95">
        <f>IF(OR(H216="T",H216="C"),S216,H216)</f>
        <v>1.4E-11</v>
      </c>
      <c r="E216" s="95">
        <f>IF(H216="C","",K216)</f>
      </c>
      <c r="F216" s="96">
        <f>IF(H216="C","",U216)</f>
      </c>
      <c r="G216" s="96">
        <f>IF(M216=0,"",M216)</f>
      </c>
      <c r="H216" s="39" t="s">
        <v>1851</v>
      </c>
      <c r="K216" s="116">
        <v>1.4E-11</v>
      </c>
      <c r="L216" s="120"/>
      <c r="M216" s="117"/>
      <c r="N216" s="116"/>
      <c r="O216" s="117"/>
      <c r="P216" s="118"/>
      <c r="Q216" s="117"/>
      <c r="S216" s="40">
        <f>IF(OR(H216="T",H216="C"),T216,IF(H216="F",(V216/(1+(V216/T216)))*Q216^(1/(1+((LOG10(V216/T216)/R216)^2))),IF(H216="S1",T216+V216,IF(H216="S2",T216+(V216/(1+(V216/#REF!))),""))))</f>
        <v>1.4E-11</v>
      </c>
      <c r="T216" s="40">
        <f>K216*EXP(-L216/T$4)*((T$4/300)^M216)</f>
        <v>1.4E-11</v>
      </c>
      <c r="U216" s="117"/>
      <c r="V216" s="116"/>
      <c r="W216" s="116"/>
      <c r="X216" s="117"/>
      <c r="Y216" s="117"/>
      <c r="CU216" s="1" t="s">
        <v>400</v>
      </c>
      <c r="CX216" s="2">
        <f t="shared" si="21"/>
        <v>0</v>
      </c>
    </row>
    <row r="217" spans="2:102" ht="15">
      <c r="B217" s="49" t="s">
        <v>394</v>
      </c>
      <c r="C217" s="14" t="s">
        <v>402</v>
      </c>
      <c r="D217" s="95">
        <f>IF(OR(H217="T",H217="C"),S217,H217)</f>
        <v>3.5E-12</v>
      </c>
      <c r="E217" s="95">
        <f>IF(H217="C","",K217)</f>
      </c>
      <c r="F217" s="98"/>
      <c r="G217" s="99"/>
      <c r="H217" s="39" t="s">
        <v>1851</v>
      </c>
      <c r="K217" s="116">
        <v>3.5E-12</v>
      </c>
      <c r="L217" s="120"/>
      <c r="M217" s="117"/>
      <c r="N217" s="116"/>
      <c r="O217" s="117"/>
      <c r="P217" s="118"/>
      <c r="Q217" s="117"/>
      <c r="S217" s="40">
        <f>IF(OR(H217="T",H217="C"),T217,IF(H217="F",(V217/(1+(V217/T217)))*Q217^(1/(1+((LOG10(V217/T217)/R217)^2))),IF(H217="S1",T217+V217,IF(H217="S2",T217+(V217/(1+(V217/T222))),""))))</f>
        <v>3.5E-12</v>
      </c>
      <c r="T217" s="40">
        <f>K217*EXP(-L217/T$4)*((T$4/300)^M217)</f>
        <v>3.5E-12</v>
      </c>
      <c r="U217" s="117"/>
      <c r="V217" s="116"/>
      <c r="W217" s="116"/>
      <c r="X217" s="117"/>
      <c r="Y217" s="117"/>
      <c r="CU217" s="1" t="s">
        <v>402</v>
      </c>
      <c r="CX217" s="2">
        <f t="shared" si="21"/>
        <v>0</v>
      </c>
    </row>
    <row r="218" spans="2:102" ht="15">
      <c r="B218" s="49" t="s">
        <v>397</v>
      </c>
      <c r="C218" s="14" t="s">
        <v>404</v>
      </c>
      <c r="D218" s="98" t="str">
        <f>IF(H218="P",CONCATENATE("Phot Set= ",I218,IF(J218=0,"",CONCATENATE(", qy= ",TEXT(J218,"0.0e+0")))),H218)</f>
        <v>Phot Set= NO2-06, qy= 1.5e-3</v>
      </c>
      <c r="E218" s="98"/>
      <c r="F218" s="98"/>
      <c r="G218" s="99"/>
      <c r="H218" s="39" t="s">
        <v>1856</v>
      </c>
      <c r="I218" s="49" t="s">
        <v>1857</v>
      </c>
      <c r="J218" s="18">
        <v>0.0015</v>
      </c>
      <c r="K218" s="116"/>
      <c r="L218" s="120"/>
      <c r="M218" s="117"/>
      <c r="N218" s="116"/>
      <c r="O218" s="117"/>
      <c r="P218" s="118"/>
      <c r="Q218" s="117"/>
      <c r="S218" s="40"/>
      <c r="T218" s="40"/>
      <c r="U218" s="117"/>
      <c r="V218" s="116"/>
      <c r="W218" s="116"/>
      <c r="X218" s="117"/>
      <c r="Y218" s="117"/>
      <c r="CU218" s="1" t="s">
        <v>404</v>
      </c>
      <c r="CX218" s="2">
        <f t="shared" si="21"/>
        <v>0</v>
      </c>
    </row>
    <row r="219" spans="2:102" ht="15">
      <c r="B219" s="49" t="s">
        <v>399</v>
      </c>
      <c r="C219" s="14" t="s">
        <v>406</v>
      </c>
      <c r="D219" s="98" t="str">
        <f>IF(H219="P",CONCATENATE("Phot Set= ",I219,IF(J219=0,"",CONCATENATE(", qy= ",TEXT(J219,"0.0e+0")))),H219)</f>
        <v>Phot Set= NO2-06, qy= 1.5e-2</v>
      </c>
      <c r="E219" s="98"/>
      <c r="F219" s="98"/>
      <c r="G219" s="99"/>
      <c r="H219" s="39" t="s">
        <v>1856</v>
      </c>
      <c r="I219" s="49" t="s">
        <v>1857</v>
      </c>
      <c r="J219" s="18">
        <v>0.015</v>
      </c>
      <c r="K219" s="116"/>
      <c r="L219" s="120"/>
      <c r="M219" s="117"/>
      <c r="N219" s="116"/>
      <c r="O219" s="117"/>
      <c r="P219" s="118"/>
      <c r="Q219" s="117"/>
      <c r="S219" s="40"/>
      <c r="T219" s="40"/>
      <c r="U219" s="117"/>
      <c r="V219" s="116"/>
      <c r="W219" s="116"/>
      <c r="X219" s="117"/>
      <c r="Y219" s="117"/>
      <c r="CU219" s="1" t="s">
        <v>406</v>
      </c>
      <c r="CX219" s="2">
        <f t="shared" si="21"/>
        <v>0</v>
      </c>
    </row>
    <row r="220" spans="2:102" ht="15">
      <c r="B220" s="49" t="s">
        <v>401</v>
      </c>
      <c r="C220" s="14" t="s">
        <v>408</v>
      </c>
      <c r="D220" s="95">
        <f>IF(OR(H220="T",H220="C"),S220,H220)</f>
        <v>1.2E-11</v>
      </c>
      <c r="E220" s="95">
        <f>IF(H220="C","",K220)</f>
      </c>
      <c r="F220" s="96">
        <f>IF(H220="C","",U220)</f>
      </c>
      <c r="G220" s="96">
        <f>IF(M220=0,"",M220)</f>
      </c>
      <c r="H220" s="39" t="s">
        <v>1851</v>
      </c>
      <c r="K220" s="116">
        <v>1.2E-11</v>
      </c>
      <c r="L220" s="120"/>
      <c r="M220" s="117"/>
      <c r="N220" s="116"/>
      <c r="O220" s="117"/>
      <c r="P220" s="118"/>
      <c r="Q220" s="117"/>
      <c r="S220" s="40">
        <f>IF(OR(H220="T",H220="C"),T220,IF(H220="F",(V220/(1+(V220/T220)))*Q220^(1/(1+((LOG10(V220/T220)/R220)^2))),IF(H220="S1",T220+V220,IF(H220="S2",T220+(V220/(1+(V220/T221))),""))))</f>
        <v>1.2E-11</v>
      </c>
      <c r="T220" s="40">
        <f>K220*EXP(-L220/T$4)*((T$4/300)^M220)</f>
        <v>1.2E-11</v>
      </c>
      <c r="U220" s="117"/>
      <c r="V220" s="116"/>
      <c r="W220" s="116"/>
      <c r="X220" s="117"/>
      <c r="Y220" s="117"/>
      <c r="CU220" s="1" t="s">
        <v>408</v>
      </c>
      <c r="CX220" s="2">
        <f t="shared" si="21"/>
        <v>0</v>
      </c>
    </row>
    <row r="221" spans="2:102" ht="15">
      <c r="B221" s="49" t="s">
        <v>403</v>
      </c>
      <c r="C221" s="14" t="s">
        <v>410</v>
      </c>
      <c r="D221" s="98" t="str">
        <f>IF(H221="P",CONCATENATE("Phot Set= ",I221,IF(J221=0,"",CONCATENATE(", qy= ",J221))),H221)</f>
        <v>Phot Set= BALD-06, qy= 0.06</v>
      </c>
      <c r="E221" s="98"/>
      <c r="F221" s="98"/>
      <c r="G221" s="99"/>
      <c r="H221" s="39" t="s">
        <v>1856</v>
      </c>
      <c r="I221" s="49" t="s">
        <v>411</v>
      </c>
      <c r="J221" s="18">
        <v>0.06</v>
      </c>
      <c r="K221" s="116" t="s">
        <v>1861</v>
      </c>
      <c r="L221" s="120"/>
      <c r="M221" s="117"/>
      <c r="N221" s="116"/>
      <c r="O221" s="117"/>
      <c r="P221" s="118"/>
      <c r="Q221" s="117"/>
      <c r="S221" s="40">
        <f>IF(OR(H221="T",H221="C"),T221,IF(H221="F",(V221/(1+(V221/T221)))*Q221^(1/(1+((LOG10(V221/T221)/R221)^2))),IF(H221="S1",T221+V221,IF(H221="S2",T221+(V221/(1+(V221/T222))),""))))</f>
      </c>
      <c r="T221" s="116"/>
      <c r="U221" s="117"/>
      <c r="V221" s="116"/>
      <c r="W221" s="116"/>
      <c r="X221" s="117"/>
      <c r="Y221" s="117"/>
      <c r="CU221" s="1" t="s">
        <v>410</v>
      </c>
      <c r="CX221" s="2">
        <f t="shared" si="21"/>
        <v>0</v>
      </c>
    </row>
    <row r="222" spans="2:102" ht="15">
      <c r="B222" s="49" t="s">
        <v>405</v>
      </c>
      <c r="C222" s="14" t="s">
        <v>413</v>
      </c>
      <c r="D222" s="95">
        <f>IF(OR(H222="T",H222="C"),S222,H222)</f>
        <v>2.7292419694243005E-15</v>
      </c>
      <c r="E222" s="95">
        <f>IF(H222="C","",K222)</f>
        <v>1.3448313633452946E-12</v>
      </c>
      <c r="F222" s="96">
        <f>IF(H222="C","",U222)</f>
        <v>3.6961920000000004</v>
      </c>
      <c r="G222" s="96">
        <f>IF(M222=0,"",M222)</f>
      </c>
      <c r="H222" s="39" t="s">
        <v>1859</v>
      </c>
      <c r="K222" s="116">
        <v>1.3448313633452946E-12</v>
      </c>
      <c r="L222" s="120">
        <v>1860</v>
      </c>
      <c r="M222" s="117">
        <v>0</v>
      </c>
      <c r="N222" s="116"/>
      <c r="O222" s="117"/>
      <c r="P222" s="118"/>
      <c r="Q222" s="117"/>
      <c r="S222" s="40">
        <f>IF(OR(H222="T",H222="C"),T222,IF(H222="F",(V222/(1+(V222/T222)))*Q222^(1/(1+((LOG10(V222/T222)/R222)^2))),IF(H222="S1",T222+V222,IF(H222="S2",T222+(V222/(1+(V222/#REF!))),""))))</f>
        <v>2.7292419694243005E-15</v>
      </c>
      <c r="T222" s="40">
        <f>K222*EXP(-L222/T$4)*((T$4/300)^M222)</f>
        <v>2.7292419694243005E-15</v>
      </c>
      <c r="U222" s="15">
        <f>L222*Rfac</f>
        <v>3.6961920000000004</v>
      </c>
      <c r="V222" s="116"/>
      <c r="W222" s="116"/>
      <c r="X222" s="117"/>
      <c r="Y222" s="117"/>
      <c r="CU222" s="1" t="s">
        <v>413</v>
      </c>
      <c r="CX222" s="2">
        <f t="shared" si="21"/>
        <v>0</v>
      </c>
    </row>
    <row r="223" spans="1:102" ht="15">
      <c r="A223" s="13" t="s">
        <v>414</v>
      </c>
      <c r="D223" s="95"/>
      <c r="E223" s="95"/>
      <c r="F223" s="96"/>
      <c r="G223" s="96"/>
      <c r="K223" s="116"/>
      <c r="M223" s="117"/>
      <c r="N223" s="116"/>
      <c r="O223" s="117"/>
      <c r="P223" s="118"/>
      <c r="Q223" s="117"/>
      <c r="S223" s="40"/>
      <c r="T223" s="40"/>
      <c r="U223" s="117"/>
      <c r="V223" s="116"/>
      <c r="W223" s="116"/>
      <c r="X223" s="117"/>
      <c r="Y223" s="117"/>
      <c r="CX223" s="2">
        <f t="shared" si="21"/>
        <v>0</v>
      </c>
    </row>
    <row r="224" spans="2:102" ht="63.75">
      <c r="B224" s="49" t="s">
        <v>407</v>
      </c>
      <c r="C224" s="14" t="s">
        <v>1550</v>
      </c>
      <c r="D224" s="95">
        <f>IF(OR(H224="T",H224="C"),S224,H224)</f>
        <v>7.403E-11</v>
      </c>
      <c r="E224" s="95">
        <f>IF(H224="C","",K224)</f>
      </c>
      <c r="F224" s="96"/>
      <c r="G224" s="96"/>
      <c r="H224" s="39" t="s">
        <v>1851</v>
      </c>
      <c r="K224" s="116">
        <v>7.403E-11</v>
      </c>
      <c r="M224" s="117"/>
      <c r="N224" s="116"/>
      <c r="O224" s="117"/>
      <c r="P224" s="118"/>
      <c r="Q224" s="117"/>
      <c r="S224" s="40">
        <f>IF(OR(H224="T",H224="C"),T224,IF(H224="F",(V224/(1+(V224/T224)))*Q224^(1/(1+((LOG10(V224/T224)/R224)^2))),IF(H224="S1",T224+V224,IF(H224="S2",T224+(V224/(1+(V224/T225))),""))))</f>
        <v>7.403E-11</v>
      </c>
      <c r="T224" s="40">
        <f>K224*EXP(-L224/T$4)*((T$4/300)^M224)</f>
        <v>7.403E-11</v>
      </c>
      <c r="U224" s="117"/>
      <c r="V224" s="116"/>
      <c r="W224" s="116"/>
      <c r="X224" s="117"/>
      <c r="Y224" s="117"/>
      <c r="CU224" s="1" t="s">
        <v>1550</v>
      </c>
      <c r="CX224" s="2">
        <f t="shared" si="21"/>
        <v>0</v>
      </c>
    </row>
    <row r="225" spans="2:102" ht="51">
      <c r="B225" s="49" t="s">
        <v>409</v>
      </c>
      <c r="C225" s="14" t="s">
        <v>417</v>
      </c>
      <c r="D225" s="95">
        <f>IF(OR(H225="T",H225="C"),S225,H225)</f>
        <v>9.661E-18</v>
      </c>
      <c r="E225" s="95">
        <f>IF(H225="C","",K225)</f>
      </c>
      <c r="F225" s="96"/>
      <c r="G225" s="96"/>
      <c r="H225" s="39" t="s">
        <v>1851</v>
      </c>
      <c r="K225" s="116">
        <v>9.661E-18</v>
      </c>
      <c r="M225" s="117"/>
      <c r="N225" s="116"/>
      <c r="O225" s="117"/>
      <c r="P225" s="118"/>
      <c r="Q225" s="117"/>
      <c r="S225" s="40">
        <f>IF(OR(H225="T",H225="C"),T225,IF(H225="F",(V225/(1+(V225/T225)))*Q225^(1/(1+((LOG10(V225/T225)/R225)^2))),IF(H225="S1",T225+V225,IF(H225="S2",T225+(V225/(1+(V225/#REF!))),""))))</f>
        <v>9.661E-18</v>
      </c>
      <c r="T225" s="40">
        <f>K225*EXP(-L225/T$4)*((T$4/300)^M225)</f>
        <v>9.661E-18</v>
      </c>
      <c r="U225" s="117"/>
      <c r="V225" s="116"/>
      <c r="W225" s="116"/>
      <c r="X225" s="117"/>
      <c r="Y225" s="117"/>
      <c r="CU225" s="1" t="s">
        <v>417</v>
      </c>
      <c r="CX225" s="2">
        <f t="shared" si="21"/>
        <v>0</v>
      </c>
    </row>
    <row r="226" spans="2:102" ht="38.25">
      <c r="B226" s="49" t="s">
        <v>412</v>
      </c>
      <c r="C226" s="14" t="s">
        <v>419</v>
      </c>
      <c r="D226" s="98" t="str">
        <f>IF(H226="P",CONCATENATE("Phot Set= ",I226,IF(J226=0,"",CONCATENATE(", qy= ",TEXT(J226,"0.000")))),H226)</f>
        <v>Phot Set= AFG1</v>
      </c>
      <c r="E226" s="98"/>
      <c r="F226" s="98"/>
      <c r="G226" s="99"/>
      <c r="H226" s="39" t="s">
        <v>1856</v>
      </c>
      <c r="I226" s="49" t="s">
        <v>1524</v>
      </c>
      <c r="K226" s="116"/>
      <c r="M226" s="117"/>
      <c r="N226" s="116"/>
      <c r="O226" s="117"/>
      <c r="P226" s="118"/>
      <c r="Q226" s="117"/>
      <c r="S226" s="40"/>
      <c r="T226" s="40"/>
      <c r="U226" s="117"/>
      <c r="V226" s="116"/>
      <c r="W226" s="116"/>
      <c r="X226" s="117"/>
      <c r="Y226" s="117"/>
      <c r="CU226" s="1" t="s">
        <v>419</v>
      </c>
      <c r="CX226" s="2">
        <f t="shared" si="21"/>
        <v>0</v>
      </c>
    </row>
    <row r="227" spans="2:102" ht="63.75">
      <c r="B227" s="49" t="s">
        <v>415</v>
      </c>
      <c r="C227" s="14" t="s">
        <v>1553</v>
      </c>
      <c r="D227" s="95">
        <f>IF(OR(H227="T",H227="C"),S227,H227)</f>
        <v>7.403E-11</v>
      </c>
      <c r="E227" s="95">
        <f>IF(H227="C","",K227)</f>
      </c>
      <c r="F227" s="96"/>
      <c r="G227" s="96"/>
      <c r="H227" s="39" t="s">
        <v>1851</v>
      </c>
      <c r="K227" s="116">
        <v>7.403E-11</v>
      </c>
      <c r="M227" s="117"/>
      <c r="N227" s="116"/>
      <c r="O227" s="117"/>
      <c r="P227" s="118"/>
      <c r="Q227" s="117"/>
      <c r="S227" s="40">
        <f>IF(OR(H227="T",H227="C"),T227,IF(H227="F",(V227/(1+(V227/T227)))*Q227^(1/(1+((LOG10(V227/T227)/R227)^2))),IF(H227="S1",T227+V227,IF(H227="S2",T227+(V227/(1+(V227/T228))),""))))</f>
        <v>7.403E-11</v>
      </c>
      <c r="T227" s="40">
        <f>K227*EXP(-L227/T$4)*((T$4/300)^M227)</f>
        <v>7.403E-11</v>
      </c>
      <c r="U227" s="117"/>
      <c r="V227" s="116"/>
      <c r="W227" s="116"/>
      <c r="X227" s="117"/>
      <c r="Y227" s="117"/>
      <c r="CU227" s="1" t="s">
        <v>1553</v>
      </c>
      <c r="CX227" s="2">
        <f t="shared" si="21"/>
        <v>0</v>
      </c>
    </row>
    <row r="228" spans="2:102" ht="51">
      <c r="B228" s="49" t="s">
        <v>416</v>
      </c>
      <c r="C228" s="14" t="s">
        <v>422</v>
      </c>
      <c r="D228" s="95">
        <f>IF(OR(H228="T",H228="C"),S228,H228)</f>
        <v>9.661E-18</v>
      </c>
      <c r="E228" s="95">
        <f>IF(H228="C","",K228)</f>
      </c>
      <c r="F228" s="96"/>
      <c r="G228" s="96"/>
      <c r="H228" s="39" t="s">
        <v>1851</v>
      </c>
      <c r="K228" s="116">
        <v>9.661E-18</v>
      </c>
      <c r="M228" s="117"/>
      <c r="N228" s="116"/>
      <c r="O228" s="117"/>
      <c r="P228" s="118"/>
      <c r="Q228" s="117"/>
      <c r="S228" s="40">
        <f>IF(OR(H228="T",H228="C"),T228,IF(H228="F",(V228/(1+(V228/T228)))*Q228^(1/(1+((LOG10(V228/T228)/R228)^2))),IF(H228="S1",T228+V228,IF(H228="S2",T228+(V228/(1+(V228/#REF!))),""))))</f>
        <v>9.661E-18</v>
      </c>
      <c r="T228" s="40">
        <f>K228*EXP(-L228/T$4)*((T$4/300)^M228)</f>
        <v>9.661E-18</v>
      </c>
      <c r="U228" s="117"/>
      <c r="V228" s="116"/>
      <c r="W228" s="116"/>
      <c r="X228" s="117"/>
      <c r="Y228" s="117"/>
      <c r="CU228" s="1" t="s">
        <v>422</v>
      </c>
      <c r="CX228" s="2">
        <f t="shared" si="21"/>
        <v>0</v>
      </c>
    </row>
    <row r="229" spans="2:102" ht="15">
      <c r="B229" s="49" t="s">
        <v>418</v>
      </c>
      <c r="C229" s="14" t="s">
        <v>424</v>
      </c>
      <c r="D229" s="98" t="str">
        <f>IF(H229="P",CONCATENATE("Phot Set= ",I229,IF(J229=0,"",CONCATENATE(", qy= ",TEXT(J229,"0.000")))),H229)</f>
        <v>Phot Set= AFG1</v>
      </c>
      <c r="E229" s="98"/>
      <c r="F229" s="98"/>
      <c r="G229" s="99"/>
      <c r="H229" s="39" t="s">
        <v>1856</v>
      </c>
      <c r="I229" s="49" t="s">
        <v>1524</v>
      </c>
      <c r="K229" s="116"/>
      <c r="M229" s="117"/>
      <c r="N229" s="116"/>
      <c r="O229" s="117"/>
      <c r="P229" s="118"/>
      <c r="Q229" s="117"/>
      <c r="S229" s="40"/>
      <c r="T229" s="40"/>
      <c r="U229" s="117"/>
      <c r="V229" s="116"/>
      <c r="W229" s="116"/>
      <c r="X229" s="117"/>
      <c r="Y229" s="117"/>
      <c r="CU229" s="1" t="s">
        <v>424</v>
      </c>
      <c r="CX229" s="2">
        <f t="shared" si="21"/>
        <v>0</v>
      </c>
    </row>
    <row r="230" spans="2:102" ht="76.5">
      <c r="B230" s="49" t="s">
        <v>420</v>
      </c>
      <c r="C230" s="14" t="s">
        <v>1554</v>
      </c>
      <c r="D230" s="95">
        <f>IF(OR(H230="T",H230="C"),S230,H230)</f>
        <v>9.352E-11</v>
      </c>
      <c r="E230" s="95">
        <f>IF(H230="C","",K230)</f>
      </c>
      <c r="F230" s="96"/>
      <c r="G230" s="96"/>
      <c r="H230" s="39" t="s">
        <v>1851</v>
      </c>
      <c r="K230" s="116">
        <v>9.352E-11</v>
      </c>
      <c r="M230" s="117"/>
      <c r="N230" s="116"/>
      <c r="O230" s="117"/>
      <c r="P230" s="118"/>
      <c r="Q230" s="117"/>
      <c r="S230" s="40">
        <f>IF(OR(H230="T",H230="C"),T230,IF(H230="F",(V230/(1+(V230/T230)))*Q230^(1/(1+((LOG10(V230/T230)/R230)^2))),IF(H230="S1",T230+V230,IF(H230="S2",T230+(V230/(1+(V230/T231))),""))))</f>
        <v>9.352E-11</v>
      </c>
      <c r="T230" s="40">
        <f>K230*EXP(-L230/T$4)*((T$4/300)^M230)</f>
        <v>9.352E-11</v>
      </c>
      <c r="U230" s="117"/>
      <c r="V230" s="116"/>
      <c r="W230" s="116"/>
      <c r="X230" s="117"/>
      <c r="Y230" s="117"/>
      <c r="CU230" s="1" t="s">
        <v>1554</v>
      </c>
      <c r="CX230" s="2">
        <f t="shared" si="21"/>
        <v>0</v>
      </c>
    </row>
    <row r="231" spans="2:102" ht="102">
      <c r="B231" s="49" t="s">
        <v>421</v>
      </c>
      <c r="C231" s="14" t="s">
        <v>1555</v>
      </c>
      <c r="D231" s="95">
        <f>IF(OR(H231="T",H231="C"),S231,H231)</f>
        <v>1.428E-17</v>
      </c>
      <c r="E231" s="95">
        <f>IF(H231="C","",K231)</f>
      </c>
      <c r="F231" s="96"/>
      <c r="G231" s="96"/>
      <c r="H231" s="39" t="s">
        <v>1851</v>
      </c>
      <c r="K231" s="116">
        <v>1.428E-17</v>
      </c>
      <c r="M231" s="117"/>
      <c r="N231" s="116"/>
      <c r="O231" s="117"/>
      <c r="P231" s="118"/>
      <c r="Q231" s="117"/>
      <c r="S231" s="40">
        <f>IF(OR(H231="T",H231="C"),T231,IF(H231="F",(V231/(1+(V231/T231)))*Q231^(1/(1+((LOG10(V231/T231)/R231)^2))),IF(H231="S1",T231+V231,IF(H231="S2",T231+(V231/(1+(V231/#REF!))),""))))</f>
        <v>1.428E-17</v>
      </c>
      <c r="T231" s="40">
        <f>K231*EXP(-L231/T$4)*((T$4/300)^M231)</f>
        <v>1.428E-17</v>
      </c>
      <c r="U231" s="117"/>
      <c r="V231" s="116"/>
      <c r="W231" s="116"/>
      <c r="X231" s="117"/>
      <c r="Y231" s="117"/>
      <c r="CU231" s="1" t="s">
        <v>1555</v>
      </c>
      <c r="CX231" s="2">
        <f t="shared" si="21"/>
        <v>0</v>
      </c>
    </row>
    <row r="232" spans="1:102" ht="15">
      <c r="A232" s="13" t="s">
        <v>1058</v>
      </c>
      <c r="D232" s="95"/>
      <c r="E232" s="95"/>
      <c r="F232" s="96"/>
      <c r="G232" s="96"/>
      <c r="K232" s="116"/>
      <c r="M232" s="117"/>
      <c r="N232" s="116"/>
      <c r="O232" s="117"/>
      <c r="P232" s="118"/>
      <c r="Q232" s="117"/>
      <c r="S232" s="40"/>
      <c r="T232" s="40"/>
      <c r="U232" s="15"/>
      <c r="V232" s="116"/>
      <c r="W232" s="116"/>
      <c r="X232" s="117"/>
      <c r="Y232" s="117"/>
      <c r="CX232" s="2">
        <f t="shared" si="21"/>
        <v>0</v>
      </c>
    </row>
    <row r="233" spans="2:102" ht="51">
      <c r="B233" s="49" t="s">
        <v>423</v>
      </c>
      <c r="C233" s="14" t="s">
        <v>428</v>
      </c>
      <c r="D233" s="95">
        <f>IF(OR(H233="T",H233="C"),S233,H233)</f>
        <v>2.8392022514930432E-11</v>
      </c>
      <c r="E233" s="95">
        <f>IF(H233="C","",K233)</f>
        <v>8E-12</v>
      </c>
      <c r="F233" s="96">
        <f>IF(H233="C","",U233)</f>
        <v>-0.755136</v>
      </c>
      <c r="G233" s="96">
        <f>IF(M233=0,"",M233)</f>
      </c>
      <c r="H233" s="39" t="s">
        <v>1859</v>
      </c>
      <c r="K233" s="116">
        <v>8E-12</v>
      </c>
      <c r="L233" s="41">
        <v>-380</v>
      </c>
      <c r="M233" s="117">
        <v>0</v>
      </c>
      <c r="N233" s="116"/>
      <c r="O233" s="117"/>
      <c r="P233" s="118"/>
      <c r="Q233" s="117"/>
      <c r="S233" s="40">
        <f aca="true" t="shared" si="23" ref="S233:S250">IF(OR(H233="T",H233="C"),T233,IF(H233="F",(V233/(1+(V233/T233)))*Q233^(1/(1+((LOG10(V233/T233)/R233)^2))),IF(H233="S1",T233+V233,IF(H233="S2",T233+(V233/(1+(V233/T234))),""))))</f>
        <v>2.8392022514930432E-11</v>
      </c>
      <c r="T233" s="40">
        <f>K233*EXP(-L233/T$4)*((T$4/300)^M233)</f>
        <v>2.8392022514930432E-11</v>
      </c>
      <c r="U233" s="15">
        <f>L233*Rfac</f>
        <v>-0.755136</v>
      </c>
      <c r="V233" s="116"/>
      <c r="W233" s="116"/>
      <c r="X233" s="117"/>
      <c r="Y233" s="117"/>
      <c r="CU233" s="1" t="s">
        <v>428</v>
      </c>
      <c r="CX233" s="2">
        <f t="shared" si="21"/>
        <v>0</v>
      </c>
    </row>
    <row r="234" spans="2:102" ht="51">
      <c r="B234" s="49" t="s">
        <v>425</v>
      </c>
      <c r="C234" s="14" t="s">
        <v>430</v>
      </c>
      <c r="D234" s="95">
        <f>IF(OR(H234="T",H234="C"),S234,H234)</f>
        <v>1.2766347517763227E-18</v>
      </c>
      <c r="E234" s="95">
        <f>IF(H234="C","",K234)</f>
        <v>1.4E-15</v>
      </c>
      <c r="F234" s="96">
        <f>IF(H234="C","",U234)</f>
        <v>4.17312</v>
      </c>
      <c r="G234" s="96">
        <f>IF(M234=0,"",M234)</f>
      </c>
      <c r="H234" s="39" t="s">
        <v>1859</v>
      </c>
      <c r="K234" s="116">
        <v>1.4E-15</v>
      </c>
      <c r="L234" s="41">
        <v>2100</v>
      </c>
      <c r="M234" s="117">
        <v>0</v>
      </c>
      <c r="N234" s="116"/>
      <c r="O234" s="117"/>
      <c r="P234" s="118"/>
      <c r="Q234" s="117"/>
      <c r="S234" s="40">
        <f t="shared" si="23"/>
        <v>1.2766347517763227E-18</v>
      </c>
      <c r="T234" s="40">
        <f>K234*EXP(-L234/T$4)*((T$4/300)^M234)</f>
        <v>1.2766347517763227E-18</v>
      </c>
      <c r="U234" s="15">
        <f>L234*Rfac</f>
        <v>4.17312</v>
      </c>
      <c r="V234" s="116"/>
      <c r="W234" s="116"/>
      <c r="X234" s="117"/>
      <c r="Y234" s="117"/>
      <c r="CU234" s="1" t="s">
        <v>430</v>
      </c>
      <c r="CX234" s="2">
        <f t="shared" si="21"/>
        <v>0</v>
      </c>
    </row>
    <row r="235" spans="2:102" ht="38.25">
      <c r="B235" s="49" t="s">
        <v>426</v>
      </c>
      <c r="C235" s="14" t="s">
        <v>432</v>
      </c>
      <c r="D235" s="95">
        <f>IF(OR(H235="T",H235="C"),S235,H235)</f>
        <v>3.5367930097353497E-15</v>
      </c>
      <c r="E235" s="95">
        <f>IF(H235="C","",K235)</f>
        <v>1.5E-12</v>
      </c>
      <c r="F235" s="96">
        <f>IF(H235="C","",U235)</f>
        <v>3.606768</v>
      </c>
      <c r="G235" s="96">
        <f>IF(M235=0,"",M235)</f>
      </c>
      <c r="H235" s="39" t="s">
        <v>1859</v>
      </c>
      <c r="K235" s="116">
        <v>1.5E-12</v>
      </c>
      <c r="L235" s="41">
        <v>1815</v>
      </c>
      <c r="M235" s="117">
        <v>0</v>
      </c>
      <c r="N235" s="116"/>
      <c r="O235" s="117"/>
      <c r="P235" s="118"/>
      <c r="Q235" s="117"/>
      <c r="S235" s="40">
        <f t="shared" si="23"/>
        <v>3.5367930097353497E-15</v>
      </c>
      <c r="T235" s="40">
        <f>K235*EXP(-L235/T$4)*((T$4/300)^M235)</f>
        <v>3.5367930097353497E-15</v>
      </c>
      <c r="U235" s="15">
        <f>L235*Rfac</f>
        <v>3.606768</v>
      </c>
      <c r="V235" s="116"/>
      <c r="W235" s="116"/>
      <c r="X235" s="117"/>
      <c r="Y235" s="117"/>
      <c r="CU235" s="1" t="s">
        <v>432</v>
      </c>
      <c r="CX235" s="2">
        <f t="shared" si="21"/>
        <v>0</v>
      </c>
    </row>
    <row r="236" spans="2:102" ht="15">
      <c r="B236" s="49" t="s">
        <v>427</v>
      </c>
      <c r="C236" s="14" t="s">
        <v>434</v>
      </c>
      <c r="D236" s="95">
        <f>IF(OR(H236="T",H236="C"),S236,H236)</f>
        <v>6.34E-12</v>
      </c>
      <c r="E236" s="95">
        <f>IF(H236="C","",K236)</f>
      </c>
      <c r="F236" s="96">
        <f>IF(H236="C","",U236)</f>
      </c>
      <c r="G236" s="96">
        <f>IF(M236=0,"",M236)</f>
      </c>
      <c r="H236" s="39" t="s">
        <v>1851</v>
      </c>
      <c r="K236" s="116">
        <v>6.34E-12</v>
      </c>
      <c r="M236" s="117"/>
      <c r="N236" s="116"/>
      <c r="O236" s="117"/>
      <c r="P236" s="118"/>
      <c r="Q236" s="117"/>
      <c r="S236" s="40">
        <f t="shared" si="23"/>
        <v>6.34E-12</v>
      </c>
      <c r="T236" s="40">
        <f>K236*EXP(-L236/T$4)*((T$4/300)^M236)</f>
        <v>6.34E-12</v>
      </c>
      <c r="U236" s="117"/>
      <c r="V236" s="116"/>
      <c r="W236" s="116"/>
      <c r="X236" s="117"/>
      <c r="Y236" s="117"/>
      <c r="CU236" s="1" t="s">
        <v>434</v>
      </c>
      <c r="CX236" s="2">
        <f t="shared" si="21"/>
        <v>0</v>
      </c>
    </row>
    <row r="237" spans="2:102" ht="51">
      <c r="B237" s="49" t="s">
        <v>429</v>
      </c>
      <c r="C237" s="14" t="s">
        <v>436</v>
      </c>
      <c r="D237" s="98" t="str">
        <f>IF(H237="P",CONCATENATE("Phot Set= ",I237,IF(J237=0,"",CONCATENATE(", qy= ",TEXT(J237,"0.0e+0")))),H237)</f>
        <v>Phot Set= MACR-06</v>
      </c>
      <c r="E237" s="98"/>
      <c r="F237" s="98"/>
      <c r="G237" s="99"/>
      <c r="H237" s="39" t="s">
        <v>1856</v>
      </c>
      <c r="I237" s="49" t="s">
        <v>437</v>
      </c>
      <c r="J237" s="131"/>
      <c r="K237" s="116"/>
      <c r="M237" s="117"/>
      <c r="N237" s="116"/>
      <c r="O237" s="117"/>
      <c r="P237" s="118"/>
      <c r="Q237" s="117"/>
      <c r="S237" s="40">
        <f>IF(OR(H237="T",H237="C"),T237,IF(H237="F",(V237/(1+(V237/T237)))*Q237^(1/(1+((LOG10(V237/T237)/R237)^2))),IF(H237="S1",T237+V237,IF(H237="S2",T237+(V237/(1+(V237/#REF!))),""))))</f>
      </c>
      <c r="T237" s="116"/>
      <c r="U237" s="117"/>
      <c r="V237" s="116"/>
      <c r="W237" s="116"/>
      <c r="X237" s="117"/>
      <c r="Y237" s="117"/>
      <c r="CU237" s="1" t="s">
        <v>436</v>
      </c>
      <c r="CX237" s="2">
        <f t="shared" si="21"/>
        <v>0</v>
      </c>
    </row>
    <row r="238" spans="2:102" ht="51">
      <c r="B238" s="49" t="s">
        <v>431</v>
      </c>
      <c r="C238" s="14" t="s">
        <v>1556</v>
      </c>
      <c r="D238" s="95">
        <f>IF(OR(H238="T",H238="C"),S238,H238)</f>
        <v>1.9862723384821383E-11</v>
      </c>
      <c r="E238" s="95">
        <f>IF(H238="C","",K238)</f>
        <v>2.6E-12</v>
      </c>
      <c r="F238" s="96">
        <f>IF(H238="C","",U238)</f>
        <v>-1.2121920000000002</v>
      </c>
      <c r="G238" s="96">
        <f>IF(M238=0,"",M238)</f>
      </c>
      <c r="H238" s="39" t="s">
        <v>1859</v>
      </c>
      <c r="K238" s="116">
        <v>2.6E-12</v>
      </c>
      <c r="L238" s="41">
        <v>-610</v>
      </c>
      <c r="M238" s="117">
        <v>0</v>
      </c>
      <c r="N238" s="116"/>
      <c r="O238" s="117"/>
      <c r="P238" s="118"/>
      <c r="Q238" s="117"/>
      <c r="S238" s="40">
        <f t="shared" si="23"/>
        <v>1.9862723384821383E-11</v>
      </c>
      <c r="T238" s="40">
        <f>K238*EXP(-L238/T$4)*((T$4/300)^M238)</f>
        <v>1.9862723384821383E-11</v>
      </c>
      <c r="U238" s="15">
        <f>L238*Rfac</f>
        <v>-1.2121920000000002</v>
      </c>
      <c r="V238" s="116"/>
      <c r="W238" s="116"/>
      <c r="X238" s="117"/>
      <c r="Y238" s="117"/>
      <c r="CU238" s="1" t="s">
        <v>1556</v>
      </c>
      <c r="CX238" s="2">
        <f t="shared" si="21"/>
        <v>0</v>
      </c>
    </row>
    <row r="239" spans="2:102" ht="63.75">
      <c r="B239" s="49" t="s">
        <v>433</v>
      </c>
      <c r="C239" s="14" t="s">
        <v>636</v>
      </c>
      <c r="D239" s="95">
        <f>IF(OR(H239="T",H239="C"),S239,H239)</f>
        <v>5.3627783492511995E-18</v>
      </c>
      <c r="E239" s="95">
        <f>IF(H239="C","",K239)</f>
        <v>8.5E-16</v>
      </c>
      <c r="F239" s="96">
        <f>IF(H239="C","",U239)</f>
        <v>3.02</v>
      </c>
      <c r="G239" s="96">
        <f>IF(M239=0,"",M239)</f>
      </c>
      <c r="H239" s="39" t="s">
        <v>1859</v>
      </c>
      <c r="K239" s="116">
        <v>8.5E-16</v>
      </c>
      <c r="L239" s="41">
        <v>1519.7262479871174</v>
      </c>
      <c r="M239" s="117">
        <v>0</v>
      </c>
      <c r="N239" s="116"/>
      <c r="O239" s="117"/>
      <c r="P239" s="118"/>
      <c r="Q239" s="117"/>
      <c r="S239" s="40">
        <f t="shared" si="23"/>
        <v>5.3627783492511995E-18</v>
      </c>
      <c r="T239" s="40">
        <f>K239*EXP(-L239/T$4)*((T$4/300)^M239)</f>
        <v>5.3627783492511995E-18</v>
      </c>
      <c r="U239" s="15">
        <f>L239*Rfac</f>
        <v>3.02</v>
      </c>
      <c r="V239" s="116"/>
      <c r="W239" s="116"/>
      <c r="X239" s="117"/>
      <c r="Y239" s="117"/>
      <c r="CU239" s="1" t="s">
        <v>636</v>
      </c>
      <c r="CX239" s="2">
        <f t="shared" si="21"/>
        <v>0</v>
      </c>
    </row>
    <row r="240" spans="2:102" ht="15">
      <c r="B240" s="49" t="s">
        <v>435</v>
      </c>
      <c r="C240" s="14" t="s">
        <v>638</v>
      </c>
      <c r="D240" s="98" t="str">
        <f>IF(H240="X","(Slow)",H240)</f>
        <v>(Slow)</v>
      </c>
      <c r="E240" s="98"/>
      <c r="F240" s="98"/>
      <c r="G240" s="99"/>
      <c r="H240" s="39" t="s">
        <v>639</v>
      </c>
      <c r="K240" s="116"/>
      <c r="L240" s="120"/>
      <c r="M240" s="117"/>
      <c r="N240" s="116"/>
      <c r="O240" s="117"/>
      <c r="P240" s="118"/>
      <c r="Q240" s="117"/>
      <c r="S240" s="40">
        <f t="shared" si="23"/>
      </c>
      <c r="T240" s="116"/>
      <c r="U240" s="117"/>
      <c r="V240" s="116"/>
      <c r="W240" s="116"/>
      <c r="X240" s="117"/>
      <c r="Y240" s="117"/>
      <c r="CU240" s="1" t="s">
        <v>638</v>
      </c>
      <c r="CX240" s="2">
        <f t="shared" si="21"/>
        <v>0</v>
      </c>
    </row>
    <row r="241" spans="2:102" ht="25.5">
      <c r="B241" s="49" t="s">
        <v>438</v>
      </c>
      <c r="C241" s="14" t="s">
        <v>641</v>
      </c>
      <c r="D241" s="95">
        <f>IF(OR(H241="T",H241="C"),S241,H241)</f>
        <v>4.32E-12</v>
      </c>
      <c r="E241" s="95">
        <f>IF(H241="C","",K241)</f>
      </c>
      <c r="F241" s="96">
        <f>IF(H241="C","",U241)</f>
      </c>
      <c r="G241" s="96">
        <f>IF(M241=0,"",M241)</f>
      </c>
      <c r="H241" s="39" t="s">
        <v>1851</v>
      </c>
      <c r="K241" s="116">
        <v>4.32E-12</v>
      </c>
      <c r="L241" s="120"/>
      <c r="M241" s="117"/>
      <c r="N241" s="116"/>
      <c r="O241" s="117"/>
      <c r="P241" s="118"/>
      <c r="Q241" s="117"/>
      <c r="S241" s="40">
        <f t="shared" si="23"/>
        <v>4.32E-12</v>
      </c>
      <c r="T241" s="40">
        <f>K241*EXP(-L241/T$4)*((T$4/300)^M241)</f>
        <v>4.32E-12</v>
      </c>
      <c r="U241" s="117"/>
      <c r="V241" s="116"/>
      <c r="W241" s="116"/>
      <c r="X241" s="117"/>
      <c r="Y241" s="117"/>
      <c r="CU241" s="1" t="s">
        <v>641</v>
      </c>
      <c r="CX241" s="2">
        <f t="shared" si="21"/>
        <v>0</v>
      </c>
    </row>
    <row r="242" spans="2:102" ht="25.5">
      <c r="B242" s="49" t="s">
        <v>439</v>
      </c>
      <c r="C242" s="14" t="s">
        <v>643</v>
      </c>
      <c r="D242" s="98" t="str">
        <f>IF(H242="P",CONCATENATE("Phot Set= ",I242,IF(J242=0,"",CONCATENATE(", qy= ",TEXT(J242,"0.0e+0")))),H242)</f>
        <v>Phot Set= MVK-06</v>
      </c>
      <c r="E242" s="98"/>
      <c r="F242" s="98"/>
      <c r="G242" s="99"/>
      <c r="H242" s="39" t="s">
        <v>1856</v>
      </c>
      <c r="I242" s="49" t="s">
        <v>644</v>
      </c>
      <c r="K242" s="116"/>
      <c r="L242" s="120"/>
      <c r="M242" s="117"/>
      <c r="N242" s="116"/>
      <c r="O242" s="117"/>
      <c r="P242" s="118"/>
      <c r="Q242" s="117"/>
      <c r="S242" s="40">
        <f>IF(OR(H242="T",H242="C"),T242,IF(H242="F",(V242/(1+(V242/T242)))*Q242^(1/(1+((LOG10(V242/T242)/R242)^2))),IF(H242="S1",T242+V242,IF(H242="S2",T242+(V242/(1+(V242/#REF!))),""))))</f>
      </c>
      <c r="T242" s="116"/>
      <c r="U242" s="117"/>
      <c r="V242" s="116"/>
      <c r="W242" s="116"/>
      <c r="X242" s="117"/>
      <c r="Y242" s="117"/>
      <c r="CU242" s="1" t="s">
        <v>643</v>
      </c>
      <c r="CX242" s="2">
        <f t="shared" si="21"/>
        <v>0</v>
      </c>
    </row>
    <row r="243" spans="2:102" ht="76.5">
      <c r="B243" s="49" t="s">
        <v>637</v>
      </c>
      <c r="C243" s="14" t="s">
        <v>646</v>
      </c>
      <c r="D243" s="95">
        <f>IF(OR(H243="T",H243="C"),S243,H243)</f>
        <v>6.19E-11</v>
      </c>
      <c r="E243" s="95">
        <f>IF(H243="C","",K243)</f>
      </c>
      <c r="F243" s="96">
        <f>IF(H243="C","",U243)</f>
      </c>
      <c r="G243" s="96">
        <f>IF(M243=0,"",M243)</f>
      </c>
      <c r="H243" s="39" t="s">
        <v>1851</v>
      </c>
      <c r="K243" s="116">
        <v>6.19E-11</v>
      </c>
      <c r="L243" s="120"/>
      <c r="M243" s="117"/>
      <c r="N243" s="116"/>
      <c r="O243" s="117"/>
      <c r="P243" s="118"/>
      <c r="Q243" s="117"/>
      <c r="S243" s="40">
        <f t="shared" si="23"/>
        <v>6.19E-11</v>
      </c>
      <c r="T243" s="40">
        <f>K243*EXP(-L243/T$4)*((T$4/300)^M243)</f>
        <v>6.19E-11</v>
      </c>
      <c r="U243" s="117"/>
      <c r="V243" s="116"/>
      <c r="W243" s="116"/>
      <c r="X243" s="117"/>
      <c r="Y243" s="117"/>
      <c r="CU243" s="1" t="s">
        <v>646</v>
      </c>
      <c r="CX243" s="2">
        <f t="shared" si="21"/>
        <v>0</v>
      </c>
    </row>
    <row r="244" spans="2:102" ht="76.5">
      <c r="B244" s="49" t="s">
        <v>640</v>
      </c>
      <c r="C244" s="14" t="s">
        <v>648</v>
      </c>
      <c r="D244" s="95">
        <f>IF(OR(H244="T",H244="C"),S244,H244)</f>
        <v>4.18E-18</v>
      </c>
      <c r="E244" s="95">
        <f>IF(H244="C","",K244)</f>
      </c>
      <c r="F244" s="96">
        <f>IF(H244="C","",U244)</f>
      </c>
      <c r="G244" s="96">
        <f>IF(M244=0,"",M244)</f>
      </c>
      <c r="H244" s="39" t="s">
        <v>1851</v>
      </c>
      <c r="K244" s="116">
        <v>4.18E-18</v>
      </c>
      <c r="L244" s="120"/>
      <c r="M244" s="117"/>
      <c r="N244" s="116"/>
      <c r="O244" s="117"/>
      <c r="P244" s="118"/>
      <c r="Q244" s="117"/>
      <c r="S244" s="40">
        <f t="shared" si="23"/>
        <v>4.18E-18</v>
      </c>
      <c r="T244" s="40">
        <f>K244*EXP(-L244/T$4)*((T$4/300)^M244)</f>
        <v>4.18E-18</v>
      </c>
      <c r="U244" s="117"/>
      <c r="V244" s="116"/>
      <c r="W244" s="116"/>
      <c r="X244" s="117"/>
      <c r="Y244" s="117"/>
      <c r="CU244" s="1" t="s">
        <v>648</v>
      </c>
      <c r="CX244" s="2">
        <f t="shared" si="21"/>
        <v>0</v>
      </c>
    </row>
    <row r="245" spans="2:102" ht="63.75">
      <c r="B245" s="49" t="s">
        <v>642</v>
      </c>
      <c r="C245" s="14" t="s">
        <v>650</v>
      </c>
      <c r="D245" s="95">
        <f>IF(OR(H245="T",H245="C"),S245,H245)</f>
        <v>1E-13</v>
      </c>
      <c r="E245" s="95">
        <f>IF(H245="C","",K245)</f>
      </c>
      <c r="F245" s="96">
        <f>IF(H245="C","",U245)</f>
      </c>
      <c r="G245" s="96">
        <f>IF(M245=0,"",M245)</f>
      </c>
      <c r="H245" s="39" t="s">
        <v>1851</v>
      </c>
      <c r="K245" s="116">
        <v>1E-13</v>
      </c>
      <c r="L245" s="120"/>
      <c r="M245" s="117"/>
      <c r="N245" s="116"/>
      <c r="O245" s="117"/>
      <c r="P245" s="118"/>
      <c r="Q245" s="117"/>
      <c r="S245" s="40">
        <f t="shared" si="23"/>
        <v>1E-13</v>
      </c>
      <c r="T245" s="40">
        <f>K245*EXP(-L245/T$4)*((T$4/300)^M245)</f>
        <v>1E-13</v>
      </c>
      <c r="U245" s="117"/>
      <c r="V245" s="116"/>
      <c r="W245" s="116"/>
      <c r="X245" s="117"/>
      <c r="Y245" s="117"/>
      <c r="CU245" s="1" t="s">
        <v>650</v>
      </c>
      <c r="CX245" s="2">
        <f t="shared" si="21"/>
        <v>0</v>
      </c>
    </row>
    <row r="246" spans="2:102" ht="38.25">
      <c r="B246" s="49" t="s">
        <v>645</v>
      </c>
      <c r="C246" s="14" t="s">
        <v>652</v>
      </c>
      <c r="D246" s="98" t="str">
        <f>IF(H246="P",CONCATENATE("Phot Set= ",I246,IF(J246=0,"",CONCATENATE(", qy= ",TEXT(J246,"0.0e+0")))),H246)</f>
        <v>Phot Set= MACR-06</v>
      </c>
      <c r="E246" s="98"/>
      <c r="F246" s="98"/>
      <c r="G246" s="99"/>
      <c r="H246" s="39" t="s">
        <v>1856</v>
      </c>
      <c r="I246" s="49" t="s">
        <v>437</v>
      </c>
      <c r="K246" s="116"/>
      <c r="L246" s="120"/>
      <c r="M246" s="117"/>
      <c r="N246" s="116"/>
      <c r="O246" s="117"/>
      <c r="P246" s="118"/>
      <c r="Q246" s="117"/>
      <c r="S246" s="40">
        <f t="shared" si="23"/>
      </c>
      <c r="T246" s="116"/>
      <c r="U246" s="117"/>
      <c r="V246" s="116"/>
      <c r="W246" s="116"/>
      <c r="X246" s="117"/>
      <c r="Y246" s="117"/>
      <c r="CU246" s="1" t="s">
        <v>652</v>
      </c>
      <c r="CX246" s="2">
        <f t="shared" si="21"/>
        <v>0</v>
      </c>
    </row>
    <row r="247" spans="1:102" ht="15">
      <c r="A247" s="13" t="s">
        <v>653</v>
      </c>
      <c r="D247" s="95"/>
      <c r="E247" s="95"/>
      <c r="F247" s="96"/>
      <c r="G247" s="96"/>
      <c r="J247" s="38"/>
      <c r="K247" s="109"/>
      <c r="L247" s="110"/>
      <c r="M247" s="111"/>
      <c r="N247" s="112"/>
      <c r="O247" s="111"/>
      <c r="P247" s="113"/>
      <c r="Q247" s="111"/>
      <c r="S247" s="40">
        <f t="shared" si="23"/>
      </c>
      <c r="T247" s="109"/>
      <c r="U247" s="111"/>
      <c r="V247" s="112"/>
      <c r="W247" s="112"/>
      <c r="X247" s="111"/>
      <c r="Y247" s="111"/>
      <c r="CX247" s="2">
        <f t="shared" si="21"/>
        <v>0</v>
      </c>
    </row>
    <row r="248" spans="2:102" ht="89.25">
      <c r="B248" s="49" t="s">
        <v>647</v>
      </c>
      <c r="C248" s="14" t="s">
        <v>655</v>
      </c>
      <c r="D248" s="95">
        <f>IF(OR(H248="T",H248="C"),S248,H248)</f>
        <v>1.5460832801838823E-11</v>
      </c>
      <c r="E248" s="95">
        <f>IF(H248="C","",K248)</f>
      </c>
      <c r="F248" s="96">
        <f>IF(H248="C","",U248)</f>
      </c>
      <c r="G248" s="96">
        <f>IF(M248=0,"",M248)</f>
      </c>
      <c r="H248" s="39" t="s">
        <v>1851</v>
      </c>
      <c r="K248" s="116">
        <v>1.5460832801838823E-11</v>
      </c>
      <c r="L248" s="120"/>
      <c r="M248" s="117"/>
      <c r="N248" s="116"/>
      <c r="O248" s="117"/>
      <c r="P248" s="118"/>
      <c r="Q248" s="117"/>
      <c r="S248" s="40">
        <f t="shared" si="23"/>
        <v>1.5460832801838823E-11</v>
      </c>
      <c r="T248" s="40">
        <f>K248*EXP(-L248/T$4)*((T$4/300)^M248)</f>
        <v>1.5460832801838823E-11</v>
      </c>
      <c r="U248" s="117"/>
      <c r="V248" s="116"/>
      <c r="W248" s="116"/>
      <c r="X248" s="117"/>
      <c r="Y248" s="117"/>
      <c r="CU248" s="1" t="s">
        <v>655</v>
      </c>
      <c r="CX248" s="2">
        <f t="shared" si="21"/>
        <v>0</v>
      </c>
    </row>
    <row r="249" spans="2:102" ht="63.75">
      <c r="B249" s="49" t="s">
        <v>649</v>
      </c>
      <c r="C249" s="14" t="s">
        <v>657</v>
      </c>
      <c r="D249" s="98" t="str">
        <f>IF(H249="P",CONCATENATE("Phot Set= ",I249,IF(J249=0,"",CONCATENATE(", qy= ",TEXT(J249,"0.00e+0")))),H249)</f>
        <v>Phot Set= MEK-06, qy= 4.86e-3</v>
      </c>
      <c r="E249" s="98"/>
      <c r="F249" s="98"/>
      <c r="G249" s="99"/>
      <c r="H249" s="39" t="s">
        <v>1856</v>
      </c>
      <c r="I249" s="49" t="s">
        <v>357</v>
      </c>
      <c r="J249" s="18">
        <v>0.004860000000000001</v>
      </c>
      <c r="K249" s="116" t="s">
        <v>1861</v>
      </c>
      <c r="L249" s="120"/>
      <c r="M249" s="117"/>
      <c r="N249" s="116"/>
      <c r="O249" s="117"/>
      <c r="P249" s="118"/>
      <c r="Q249" s="117"/>
      <c r="S249" s="40">
        <f>IF(OR(H249="T",H249="C"),T249,IF(H249="F",(V249/(1+(V249/T249)))*Q249^(1/(1+((LOG10(V249/T249)/R249)^2))),IF(H249="S1",T249+V249,IF(H249="S2",T249+(V249/(1+(V249/#REF!))),""))))</f>
      </c>
      <c r="T249" s="116"/>
      <c r="U249" s="117"/>
      <c r="V249" s="116"/>
      <c r="W249" s="116"/>
      <c r="X249" s="117"/>
      <c r="Y249" s="117"/>
      <c r="CU249" s="1" t="s">
        <v>657</v>
      </c>
      <c r="CX249" s="2">
        <f t="shared" si="21"/>
        <v>0</v>
      </c>
    </row>
    <row r="250" spans="2:102" ht="102">
      <c r="B250" s="49" t="s">
        <v>651</v>
      </c>
      <c r="C250" s="14" t="s">
        <v>659</v>
      </c>
      <c r="D250" s="95">
        <f>IF(OR(H250="T",H250="C"),S250,H250)</f>
        <v>7.202388714220032E-12</v>
      </c>
      <c r="E250" s="95">
        <f>IF(H250="C","",K250)</f>
      </c>
      <c r="F250" s="96">
        <f>IF(H250="C","",U250)</f>
      </c>
      <c r="G250" s="96">
        <f>IF(M250=0,"",M250)</f>
      </c>
      <c r="H250" s="39" t="s">
        <v>1851</v>
      </c>
      <c r="K250" s="116">
        <v>7.202388714220032E-12</v>
      </c>
      <c r="L250" s="120"/>
      <c r="M250" s="117"/>
      <c r="N250" s="116"/>
      <c r="O250" s="117"/>
      <c r="P250" s="118"/>
      <c r="Q250" s="117"/>
      <c r="S250" s="40">
        <f t="shared" si="23"/>
        <v>7.202388714220032E-12</v>
      </c>
      <c r="T250" s="40">
        <f>K250*EXP(-L250/T$4)*((T$4/300)^M250)</f>
        <v>7.202388714220032E-12</v>
      </c>
      <c r="U250" s="117"/>
      <c r="V250" s="116"/>
      <c r="W250" s="116"/>
      <c r="X250" s="117"/>
      <c r="Y250" s="117"/>
      <c r="CU250" s="1" t="s">
        <v>659</v>
      </c>
      <c r="CX250" s="2">
        <f t="shared" si="21"/>
        <v>0</v>
      </c>
    </row>
    <row r="251" spans="2:102" ht="89.25">
      <c r="B251" s="49" t="s">
        <v>654</v>
      </c>
      <c r="C251" s="14" t="s">
        <v>661</v>
      </c>
      <c r="D251" s="98" t="str">
        <f>IF(H251="P",CONCATENATE("Phot Set= ",I251,IF(J251=0,"",CONCATENATE(", qy= ",TEXT(J251,"0.0e+0")))),H251)</f>
        <v>Phot Set= IC3ONO2</v>
      </c>
      <c r="E251" s="98"/>
      <c r="F251" s="98"/>
      <c r="G251" s="99"/>
      <c r="H251" s="39" t="s">
        <v>1856</v>
      </c>
      <c r="I251" s="49" t="s">
        <v>662</v>
      </c>
      <c r="K251" s="116" t="s">
        <v>1861</v>
      </c>
      <c r="L251" s="120"/>
      <c r="M251" s="117"/>
      <c r="N251" s="116"/>
      <c r="O251" s="117"/>
      <c r="P251" s="118"/>
      <c r="Q251" s="117"/>
      <c r="S251" s="40">
        <f>IF(OR(H251="T",H251="C"),T251,IF(H251="F",(V251/(1+(V251/T251)))*Q251^(1/(1+((LOG10(V251/T251)/R251)^2))),IF(H251="S1",T251+V251,IF(H251="S2",T251+(V251/(1+(V251/#REF!))),""))))</f>
      </c>
      <c r="T251" s="116"/>
      <c r="U251" s="117"/>
      <c r="V251" s="116"/>
      <c r="W251" s="116"/>
      <c r="X251" s="117"/>
      <c r="Y251" s="117"/>
      <c r="CU251" s="1" t="s">
        <v>661</v>
      </c>
      <c r="CX251" s="2">
        <f t="shared" si="21"/>
        <v>0</v>
      </c>
    </row>
    <row r="252" spans="1:102" ht="12.75">
      <c r="A252" s="13" t="s">
        <v>1557</v>
      </c>
      <c r="D252" s="105"/>
      <c r="E252" s="106"/>
      <c r="F252" s="107"/>
      <c r="G252" s="107"/>
      <c r="J252" s="123"/>
      <c r="K252" s="123"/>
      <c r="L252" s="125"/>
      <c r="M252" s="126"/>
      <c r="N252" s="123"/>
      <c r="O252" s="126"/>
      <c r="P252" s="127"/>
      <c r="Q252" s="126"/>
      <c r="R252" s="124"/>
      <c r="S252" s="40">
        <f>IF(OR(H252="T",H252="C"),T252,IF(H252="F",(V252/(1+(V252/T252)))*Q252^(1/(1+((LOG10(V252/T252)/R252)^2))),IF(H252="S1",T252+V252,IF(H252="S2",T252+(V252/(1+(V252/T188))),""))))</f>
      </c>
      <c r="T252" s="128"/>
      <c r="U252" s="126"/>
      <c r="V252" s="129"/>
      <c r="W252" s="130"/>
      <c r="X252" s="126"/>
      <c r="Y252" s="126"/>
      <c r="CX252" s="2">
        <f t="shared" si="21"/>
        <v>0</v>
      </c>
    </row>
    <row r="253" spans="2:102" ht="15">
      <c r="B253" s="49" t="s">
        <v>656</v>
      </c>
      <c r="C253" s="14" t="s">
        <v>336</v>
      </c>
      <c r="D253" s="98" t="str">
        <f>IF(H253="S",CONCATENATE("Same k as rxn ",I253),H253)</f>
        <v>Same k as rxn BP08</v>
      </c>
      <c r="E253" s="98"/>
      <c r="F253" s="98"/>
      <c r="G253" s="96">
        <f>IF(M253=0,"",M253)</f>
      </c>
      <c r="H253" s="39" t="s">
        <v>56</v>
      </c>
      <c r="I253" s="49" t="s">
        <v>328</v>
      </c>
      <c r="K253" s="116">
        <v>4.4E-12</v>
      </c>
      <c r="L253" s="120">
        <v>-365</v>
      </c>
      <c r="M253" s="117">
        <v>0</v>
      </c>
      <c r="N253" s="116"/>
      <c r="O253" s="117"/>
      <c r="P253" s="118"/>
      <c r="Q253" s="117"/>
      <c r="S253" s="40">
        <f>IF(OR(H253="T",H253="C"),T253,IF(H253="F",(V253/(1+(V253/T253)))*Q253^(1/(1+((LOG10(V253/T253)/R253)^2))),IF(H253="S1",T253+V253,IF(H253="S2",T253+(V253/(1+(V253/T254))),""))))</f>
      </c>
      <c r="T253" s="40">
        <f>K253*EXP(-L253/T$4)*((T$4/300)^M253)</f>
        <v>1.4854029980508722E-11</v>
      </c>
      <c r="U253" s="15">
        <f>L253*Rfac</f>
        <v>-0.7253280000000001</v>
      </c>
      <c r="V253" s="116"/>
      <c r="W253" s="116"/>
      <c r="X253" s="117"/>
      <c r="Y253" s="117"/>
      <c r="CU253" s="1" t="s">
        <v>336</v>
      </c>
      <c r="CX253" s="2">
        <f t="shared" si="21"/>
        <v>0</v>
      </c>
    </row>
    <row r="254" spans="2:102" ht="15">
      <c r="B254" s="49" t="s">
        <v>658</v>
      </c>
      <c r="C254" s="14" t="s">
        <v>338</v>
      </c>
      <c r="D254" s="98" t="str">
        <f>IF(H254="P",CONCATENATE("Phot Set= ",I254,IF(J254=0,"",CONCATENATE(", qy= ",TEXT(J254,"0.0e+0")))),H254)</f>
        <v>Phot Set= HOCCHO</v>
      </c>
      <c r="E254" s="98"/>
      <c r="F254" s="98"/>
      <c r="G254" s="99"/>
      <c r="H254" s="39" t="s">
        <v>1856</v>
      </c>
      <c r="I254" s="49" t="s">
        <v>1485</v>
      </c>
      <c r="K254" s="116" t="s">
        <v>1861</v>
      </c>
      <c r="L254" s="120"/>
      <c r="M254" s="117"/>
      <c r="N254" s="116"/>
      <c r="O254" s="117"/>
      <c r="P254" s="118"/>
      <c r="Q254" s="117"/>
      <c r="S254" s="40">
        <f>IF(OR(H254="T",H254="C"),T254,IF(H254="F",(V254/(1+(V254/T254)))*Q254^(1/(1+((LOG10(V254/T254)/R254)^2))),IF(H254="S1",T254+V254,IF(H254="S2",T254+(V254/(1+(V254/T255))),""))))</f>
      </c>
      <c r="T254" s="116"/>
      <c r="U254" s="117"/>
      <c r="V254" s="116"/>
      <c r="W254" s="116"/>
      <c r="X254" s="117"/>
      <c r="Y254" s="117"/>
      <c r="CU254" s="1" t="s">
        <v>338</v>
      </c>
      <c r="CX254" s="2">
        <f t="shared" si="21"/>
        <v>0</v>
      </c>
    </row>
    <row r="255" spans="2:102" ht="15">
      <c r="B255" s="49" t="s">
        <v>660</v>
      </c>
      <c r="C255" s="14" t="s">
        <v>340</v>
      </c>
      <c r="D255" s="98" t="str">
        <f>IF(H255="S",CONCATENATE("Same k as rxn ",I255),H255)</f>
        <v>Same k as rxn BP10</v>
      </c>
      <c r="E255" s="98"/>
      <c r="F255" s="98"/>
      <c r="G255" s="96">
        <f>IF(M255=0,"",M255)</f>
      </c>
      <c r="H255" s="39" t="s">
        <v>56</v>
      </c>
      <c r="I255" s="49" t="s">
        <v>333</v>
      </c>
      <c r="K255" s="116">
        <v>1.4E-12</v>
      </c>
      <c r="L255" s="120">
        <v>1860</v>
      </c>
      <c r="M255" s="117">
        <v>0</v>
      </c>
      <c r="N255" s="116"/>
      <c r="O255" s="117"/>
      <c r="P255" s="118"/>
      <c r="Q255" s="117"/>
      <c r="S255" s="40">
        <f>IF(OR(H255="T",H255="C"),T255,IF(H255="F",(V255/(1+(V255/T255)))*Q255^(1/(1+((LOG10(V255/T255)/R255)^2))),IF(H255="S1",T255+V255,IF(H255="S2",T255+(V255/(1+(V255/#REF!))),""))))</f>
      </c>
      <c r="T255" s="40">
        <f>K255*EXP(-L255/T$4)*((T$4/300)^M255)</f>
        <v>2.841202890814028E-15</v>
      </c>
      <c r="U255" s="15">
        <f>L255*Rfac</f>
        <v>3.6961920000000004</v>
      </c>
      <c r="V255" s="116"/>
      <c r="W255" s="116"/>
      <c r="X255" s="117"/>
      <c r="Y255" s="117"/>
      <c r="CU255" s="1" t="s">
        <v>340</v>
      </c>
      <c r="CX255" s="2">
        <f t="shared" si="21"/>
        <v>0</v>
      </c>
    </row>
    <row r="256" spans="2:102" ht="51">
      <c r="B256" s="49" t="s">
        <v>1558</v>
      </c>
      <c r="C256" s="14" t="s">
        <v>1559</v>
      </c>
      <c r="D256" s="95">
        <f>IF(OR(H256="T",H256="C"),S256,H256)</f>
        <v>1.99E-11</v>
      </c>
      <c r="E256" s="95">
        <f>IF(H256="C","",K256)</f>
      </c>
      <c r="F256" s="96">
        <f>IF(H256="C","",U256)</f>
      </c>
      <c r="G256" s="96"/>
      <c r="H256" s="39" t="s">
        <v>1851</v>
      </c>
      <c r="K256" s="116">
        <v>1.99E-11</v>
      </c>
      <c r="M256" s="117"/>
      <c r="N256" s="116"/>
      <c r="O256" s="117"/>
      <c r="P256" s="118"/>
      <c r="Q256" s="117"/>
      <c r="S256" s="40">
        <f>IF(OR(H256="T",H256="C"),T256,IF(H256="F",(V256/(1+(V256/T256)))*Q256^(1/(1+((LOG10(V256/T256)/R256)^2))),IF(H256="S1",T256+V256,IF(H256="S2",T256+(V256/(1+(V256/T322))),""))))</f>
        <v>1.99E-11</v>
      </c>
      <c r="T256" s="40">
        <f>K256*EXP(-L256/T$4)*((T$4/300)^M256)</f>
        <v>1.99E-11</v>
      </c>
      <c r="U256" s="15">
        <f>L256*Rfac</f>
        <v>0</v>
      </c>
      <c r="V256" s="116"/>
      <c r="W256" s="116"/>
      <c r="X256" s="117"/>
      <c r="Y256" s="117"/>
      <c r="CU256" s="1" t="s">
        <v>1559</v>
      </c>
      <c r="CX256" s="2">
        <f t="shared" si="21"/>
        <v>0</v>
      </c>
    </row>
    <row r="257" spans="2:102" ht="38.25">
      <c r="B257" s="49" t="s">
        <v>1560</v>
      </c>
      <c r="C257" s="14" t="s">
        <v>1561</v>
      </c>
      <c r="D257" s="95">
        <f>IF(OR(H257="T",H257="C"),S257,H257)</f>
        <v>3.0653015266736613E-19</v>
      </c>
      <c r="E257" s="95">
        <f>IF(H257="C","",K257)</f>
        <v>1.4E-15</v>
      </c>
      <c r="F257" s="96">
        <f>IF(H257="C","",U257)</f>
        <v>5.0236416</v>
      </c>
      <c r="G257" s="96"/>
      <c r="H257" s="39" t="s">
        <v>1859</v>
      </c>
      <c r="K257" s="116">
        <v>1.4E-15</v>
      </c>
      <c r="L257" s="41">
        <v>2528</v>
      </c>
      <c r="M257" s="117"/>
      <c r="N257" s="116"/>
      <c r="O257" s="117"/>
      <c r="P257" s="118"/>
      <c r="Q257" s="117"/>
      <c r="S257" s="40">
        <f>IF(OR(H257="T",H257="C"),T257,IF(H257="F",(V257/(1+(V257/T257)))*Q257^(1/(1+((LOG10(V257/T257)/R257)^2))),IF(H257="S1",T257+V257,IF(H257="S2",T257+(V257/(1+(V257/T323))),""))))</f>
        <v>3.0653015266736613E-19</v>
      </c>
      <c r="T257" s="40">
        <f>K257*EXP(-L257/T$4)*((T$4/300)^M257)</f>
        <v>3.0653015266736613E-19</v>
      </c>
      <c r="U257" s="15">
        <f>L257*Rfac</f>
        <v>5.0236416</v>
      </c>
      <c r="V257" s="116"/>
      <c r="W257" s="116"/>
      <c r="X257" s="117"/>
      <c r="Y257" s="117"/>
      <c r="CU257" s="1" t="s">
        <v>1561</v>
      </c>
      <c r="CX257" s="2">
        <f t="shared" si="21"/>
        <v>0</v>
      </c>
    </row>
    <row r="258" spans="2:102" ht="63.75">
      <c r="B258" s="49" t="s">
        <v>1562</v>
      </c>
      <c r="C258" s="14" t="s">
        <v>1563</v>
      </c>
      <c r="D258" s="95">
        <f>IF(OR(H258="T",H258="C"),S258,H258)</f>
        <v>1.18E-15</v>
      </c>
      <c r="E258" s="95">
        <f>IF(H258="C","",K258)</f>
      </c>
      <c r="F258" s="96">
        <f>IF(H258="C","",U258)</f>
      </c>
      <c r="G258" s="96"/>
      <c r="H258" s="39" t="s">
        <v>1851</v>
      </c>
      <c r="K258" s="116">
        <v>1.18E-15</v>
      </c>
      <c r="M258" s="117"/>
      <c r="N258" s="116"/>
      <c r="O258" s="117"/>
      <c r="P258" s="118"/>
      <c r="Q258" s="117"/>
      <c r="S258" s="40">
        <f>IF(OR(H258="T",H258="C"),T258,IF(H258="F",(V258/(1+(V258/T258)))*Q258^(1/(1+((LOG10(V258/T258)/R258)^2))),IF(H258="S1",T258+V258,IF(H258="S2",T258+(V258/(1+(V258/#REF!))),""))))</f>
        <v>1.18E-15</v>
      </c>
      <c r="T258" s="40">
        <f>K258*EXP(-L258/T$4)*((T$4/300)^M258)</f>
        <v>1.18E-15</v>
      </c>
      <c r="U258" s="15">
        <f>L258*Rfac</f>
        <v>0</v>
      </c>
      <c r="V258" s="116"/>
      <c r="W258" s="116"/>
      <c r="X258" s="117"/>
      <c r="Y258" s="117"/>
      <c r="CU258" s="1" t="s">
        <v>1563</v>
      </c>
      <c r="CX258" s="2">
        <f t="shared" si="21"/>
        <v>0</v>
      </c>
    </row>
    <row r="259" spans="2:102" ht="15">
      <c r="B259" s="49" t="s">
        <v>1564</v>
      </c>
      <c r="C259" s="14" t="s">
        <v>1565</v>
      </c>
      <c r="D259" s="95">
        <f>IF(OR(H259="T",H259="C"),S259,H259)</f>
        <v>2.36670652262537E-12</v>
      </c>
      <c r="E259" s="95">
        <f>IF(H259="C","",K259)</f>
      </c>
      <c r="F259" s="96">
        <f>IF(H259="C","",U259)</f>
      </c>
      <c r="G259" s="96"/>
      <c r="H259" s="39" t="s">
        <v>1851</v>
      </c>
      <c r="K259" s="116">
        <v>2.36670652262537E-12</v>
      </c>
      <c r="M259" s="117"/>
      <c r="N259" s="116"/>
      <c r="O259" s="117"/>
      <c r="P259" s="118"/>
      <c r="Q259" s="117"/>
      <c r="S259" s="40">
        <f>IF(OR(H259="T",H259="C"),T259,IF(H259="F",(V259/(1+(V259/T259)))*Q259^(1/(1+((LOG10(V259/T259)/R259)^2))),IF(H259="S1",T259+V259,IF(H259="S2",T259+(V259/(1+(V259/T324))),""))))</f>
        <v>2.36670652262537E-12</v>
      </c>
      <c r="T259" s="40">
        <f>K259*EXP(-L259/T$4)*((T$4/300)^M259)</f>
        <v>2.36670652262537E-12</v>
      </c>
      <c r="U259" s="15">
        <f>L259*Rfac</f>
        <v>0</v>
      </c>
      <c r="V259" s="116"/>
      <c r="W259" s="116"/>
      <c r="X259" s="117"/>
      <c r="Y259" s="117"/>
      <c r="CU259" s="1" t="s">
        <v>1565</v>
      </c>
      <c r="CX259" s="2">
        <f t="shared" si="21"/>
        <v>0</v>
      </c>
    </row>
    <row r="260" spans="2:102" ht="51">
      <c r="B260" s="49" t="s">
        <v>1566</v>
      </c>
      <c r="C260" s="14" t="s">
        <v>1567</v>
      </c>
      <c r="D260" s="98" t="str">
        <f>IF(H260="P",CONCATENATE("Phot Set= ",I260,IF(J260=0,"",CONCATENATE(", qy= ",TEXT(J260,"0.0e+0")))),H260)</f>
        <v>Phot Set= ACRO-09</v>
      </c>
      <c r="E260" s="98"/>
      <c r="F260" s="98"/>
      <c r="G260" s="99"/>
      <c r="H260" s="39" t="s">
        <v>1856</v>
      </c>
      <c r="I260" s="49" t="s">
        <v>1768</v>
      </c>
      <c r="K260" s="116"/>
      <c r="M260" s="117"/>
      <c r="N260" s="116"/>
      <c r="O260" s="117"/>
      <c r="P260" s="118"/>
      <c r="Q260" s="117"/>
      <c r="S260" s="40"/>
      <c r="T260" s="40"/>
      <c r="U260" s="15"/>
      <c r="V260" s="116"/>
      <c r="W260" s="116"/>
      <c r="X260" s="117"/>
      <c r="Y260" s="117"/>
      <c r="CU260" s="1" t="s">
        <v>1567</v>
      </c>
      <c r="CX260" s="2">
        <f t="shared" si="21"/>
        <v>0</v>
      </c>
    </row>
    <row r="261" spans="2:102" ht="25.5">
      <c r="B261" s="49" t="s">
        <v>1771</v>
      </c>
      <c r="C261" s="14" t="s">
        <v>1050</v>
      </c>
      <c r="D261" s="95">
        <f>IF(OR(H261="T",H261="C"),S261,H261)</f>
        <v>5.28E-12</v>
      </c>
      <c r="E261" s="95">
        <f>IF(H261="C","",K261)</f>
      </c>
      <c r="F261" s="96">
        <f>IF(H261="C","",U261)</f>
      </c>
      <c r="G261" s="96"/>
      <c r="H261" s="39" t="s">
        <v>1851</v>
      </c>
      <c r="K261" s="116">
        <v>5.28E-12</v>
      </c>
      <c r="M261" s="117"/>
      <c r="N261" s="116"/>
      <c r="O261" s="117"/>
      <c r="P261" s="118"/>
      <c r="Q261" s="117"/>
      <c r="S261" s="40">
        <f>IF(OR(H261="T",H261="C"),T261,IF(H261="F",(V261/(1+(V261/T261)))*Q261^(1/(1+((LOG10(V261/T261)/R261)^2))),IF(H261="S1",T261+V261,IF(H261="S2",T261+(V261/(1+(V261/T326))),""))))</f>
        <v>5.28E-12</v>
      </c>
      <c r="T261" s="40">
        <f>K261*EXP(-L261/T$4)*((T$4/300)^M261)</f>
        <v>5.28E-12</v>
      </c>
      <c r="U261" s="15">
        <f>L261*Rfac</f>
        <v>0</v>
      </c>
      <c r="V261" s="116"/>
      <c r="W261" s="116"/>
      <c r="X261" s="117"/>
      <c r="Y261" s="117"/>
      <c r="CU261" s="1" t="s">
        <v>1050</v>
      </c>
      <c r="CX261" s="2">
        <f t="shared" si="21"/>
        <v>0</v>
      </c>
    </row>
    <row r="262" spans="2:102" ht="15">
      <c r="B262" s="49" t="s">
        <v>1772</v>
      </c>
      <c r="C262" s="14" t="s">
        <v>1769</v>
      </c>
      <c r="D262" s="98" t="str">
        <f>IF(H262="P",CONCATENATE("Phot Set= ",I262,IF(J262=0,"",CONCATENATE(", qy= ",TEXT(J262,"0.0e+0")))),H262)</f>
        <v>Phot Set= PAA</v>
      </c>
      <c r="E262" s="98"/>
      <c r="F262" s="98"/>
      <c r="G262" s="99"/>
      <c r="H262" s="39" t="s">
        <v>1856</v>
      </c>
      <c r="I262" s="49" t="s">
        <v>1775</v>
      </c>
      <c r="K262" s="116"/>
      <c r="M262" s="117"/>
      <c r="N262" s="116"/>
      <c r="O262" s="117"/>
      <c r="P262" s="118"/>
      <c r="Q262" s="117"/>
      <c r="S262" s="40"/>
      <c r="T262" s="40"/>
      <c r="U262" s="15"/>
      <c r="V262" s="116"/>
      <c r="W262" s="116"/>
      <c r="X262" s="117"/>
      <c r="Y262" s="117"/>
      <c r="CU262" s="1" t="s">
        <v>1769</v>
      </c>
      <c r="CX262" s="2">
        <f t="shared" si="21"/>
        <v>0</v>
      </c>
    </row>
    <row r="263" spans="2:102" ht="38.25">
      <c r="B263" s="49" t="s">
        <v>1773</v>
      </c>
      <c r="C263" s="14" t="s">
        <v>1051</v>
      </c>
      <c r="D263" s="95">
        <f>IF(OR(H263="T",H263="C"),S263,H263)</f>
        <v>6.42E-12</v>
      </c>
      <c r="E263" s="95">
        <f>IF(H263="C","",K263)</f>
      </c>
      <c r="F263" s="96">
        <f>IF(H263="C","",U263)</f>
      </c>
      <c r="G263" s="96"/>
      <c r="H263" s="39" t="s">
        <v>1851</v>
      </c>
      <c r="K263" s="116">
        <v>6.42E-12</v>
      </c>
      <c r="M263" s="117"/>
      <c r="N263" s="116"/>
      <c r="O263" s="117"/>
      <c r="P263" s="118"/>
      <c r="Q263" s="117"/>
      <c r="S263" s="40">
        <f>IF(OR(H263="T",H263="C"),T263,IF(H263="F",(V263/(1+(V263/T263)))*Q263^(1/(1+((LOG10(V263/T263)/R263)^2))),IF(H263="S1",T263+V263,IF(H263="S2",T263+(V263/(1+(V263/T328))),""))))</f>
        <v>6.42E-12</v>
      </c>
      <c r="T263" s="40">
        <f>K263*EXP(-L263/T$4)*((T$4/300)^M263)</f>
        <v>6.42E-12</v>
      </c>
      <c r="U263" s="15">
        <f>L263*Rfac</f>
        <v>0</v>
      </c>
      <c r="V263" s="116"/>
      <c r="W263" s="116"/>
      <c r="X263" s="117"/>
      <c r="Y263" s="117"/>
      <c r="CU263" s="1" t="s">
        <v>1051</v>
      </c>
      <c r="CX263" s="2">
        <f aca="true" t="shared" si="24" ref="CX263:CX326">IF(CU263=C263,0,1)</f>
        <v>0</v>
      </c>
    </row>
    <row r="264" spans="2:102" ht="25.5">
      <c r="B264" s="49" t="s">
        <v>1774</v>
      </c>
      <c r="C264" s="14" t="s">
        <v>1770</v>
      </c>
      <c r="D264" s="98" t="str">
        <f>IF(H264="P",CONCATENATE("Phot Set= ",I264,IF(J264=0,"",CONCATENATE(", qy= ",TEXT(J264,"0.0e+0")))),H264)</f>
        <v>Phot Set= PAA</v>
      </c>
      <c r="E264" s="98"/>
      <c r="F264" s="98"/>
      <c r="G264" s="99"/>
      <c r="H264" s="39" t="s">
        <v>1856</v>
      </c>
      <c r="I264" s="49" t="s">
        <v>1775</v>
      </c>
      <c r="K264" s="116"/>
      <c r="M264" s="117"/>
      <c r="N264" s="116"/>
      <c r="O264" s="117"/>
      <c r="P264" s="118"/>
      <c r="Q264" s="117"/>
      <c r="S264" s="40"/>
      <c r="T264" s="40"/>
      <c r="U264" s="15"/>
      <c r="V264" s="116"/>
      <c r="W264" s="116"/>
      <c r="X264" s="117"/>
      <c r="Y264" s="117"/>
      <c r="CU264" s="1" t="s">
        <v>1770</v>
      </c>
      <c r="CX264" s="2">
        <f t="shared" si="24"/>
        <v>0</v>
      </c>
    </row>
    <row r="265" spans="1:102" ht="15">
      <c r="A265" s="13" t="s">
        <v>663</v>
      </c>
      <c r="D265" s="98"/>
      <c r="E265" s="98"/>
      <c r="F265" s="98"/>
      <c r="G265" s="99"/>
      <c r="K265" s="116"/>
      <c r="L265" s="120"/>
      <c r="M265" s="117"/>
      <c r="N265" s="116"/>
      <c r="O265" s="117"/>
      <c r="P265" s="118"/>
      <c r="Q265" s="117"/>
      <c r="S265" s="40"/>
      <c r="T265" s="116"/>
      <c r="U265" s="117"/>
      <c r="V265" s="116"/>
      <c r="W265" s="116"/>
      <c r="X265" s="117"/>
      <c r="Y265" s="117"/>
      <c r="CX265" s="2">
        <f t="shared" si="24"/>
        <v>0</v>
      </c>
    </row>
    <row r="266" spans="2:102" ht="15">
      <c r="B266" s="49" t="s">
        <v>664</v>
      </c>
      <c r="C266" s="14" t="s">
        <v>665</v>
      </c>
      <c r="D266" s="138" t="str">
        <f aca="true" t="shared" si="25" ref="D266:D311">IF(H266="Q",CONCATENATE("k is variable parameter: ",I266),H266)</f>
        <v>k is variable parameter: RO2RO</v>
      </c>
      <c r="E266" s="98"/>
      <c r="F266" s="98"/>
      <c r="G266" s="98"/>
      <c r="H266" s="39" t="s">
        <v>164</v>
      </c>
      <c r="I266" s="49" t="s">
        <v>165</v>
      </c>
      <c r="K266" s="116"/>
      <c r="L266" s="120"/>
      <c r="M266" s="117"/>
      <c r="N266" s="116"/>
      <c r="O266" s="117"/>
      <c r="P266" s="118"/>
      <c r="Q266" s="117"/>
      <c r="S266" s="40"/>
      <c r="T266" s="116"/>
      <c r="U266" s="117"/>
      <c r="V266" s="116"/>
      <c r="W266" s="116"/>
      <c r="X266" s="117"/>
      <c r="Y266" s="117"/>
      <c r="CU266" s="1" t="s">
        <v>665</v>
      </c>
      <c r="CX266" s="2">
        <f t="shared" si="24"/>
        <v>0</v>
      </c>
    </row>
    <row r="267" spans="2:102" ht="15">
      <c r="B267" s="49" t="s">
        <v>666</v>
      </c>
      <c r="C267" s="14" t="s">
        <v>667</v>
      </c>
      <c r="D267" s="138" t="str">
        <f t="shared" si="25"/>
        <v>k is variable parameter: RO2XRO</v>
      </c>
      <c r="E267" s="98"/>
      <c r="F267" s="98"/>
      <c r="G267" s="98"/>
      <c r="H267" s="39" t="s">
        <v>164</v>
      </c>
      <c r="I267" s="49" t="s">
        <v>168</v>
      </c>
      <c r="K267" s="116"/>
      <c r="L267" s="120"/>
      <c r="M267" s="117"/>
      <c r="N267" s="116"/>
      <c r="O267" s="117"/>
      <c r="P267" s="118"/>
      <c r="Q267" s="117"/>
      <c r="S267" s="40"/>
      <c r="T267" s="116"/>
      <c r="U267" s="117"/>
      <c r="V267" s="116"/>
      <c r="W267" s="116"/>
      <c r="X267" s="117"/>
      <c r="Y267" s="117"/>
      <c r="CU267" s="1" t="s">
        <v>667</v>
      </c>
      <c r="CX267" s="2">
        <f t="shared" si="24"/>
        <v>0</v>
      </c>
    </row>
    <row r="268" spans="2:102" ht="15">
      <c r="B268" s="49" t="s">
        <v>668</v>
      </c>
      <c r="C268" s="14" t="s">
        <v>669</v>
      </c>
      <c r="D268" s="138" t="str">
        <f t="shared" si="25"/>
        <v>k is variable parameter: RO2RO</v>
      </c>
      <c r="E268" s="98"/>
      <c r="F268" s="98"/>
      <c r="G268" s="98"/>
      <c r="H268" s="39" t="s">
        <v>164</v>
      </c>
      <c r="I268" s="49" t="s">
        <v>165</v>
      </c>
      <c r="K268" s="116"/>
      <c r="L268" s="120"/>
      <c r="M268" s="117"/>
      <c r="N268" s="116"/>
      <c r="O268" s="117"/>
      <c r="P268" s="118"/>
      <c r="Q268" s="117"/>
      <c r="S268" s="40"/>
      <c r="T268" s="116"/>
      <c r="U268" s="117"/>
      <c r="V268" s="116"/>
      <c r="W268" s="116"/>
      <c r="X268" s="117"/>
      <c r="Y268" s="117"/>
      <c r="CU268" s="1" t="s">
        <v>669</v>
      </c>
      <c r="CX268" s="2">
        <f t="shared" si="24"/>
        <v>0</v>
      </c>
    </row>
    <row r="269" spans="2:102" ht="15">
      <c r="B269" s="49" t="s">
        <v>670</v>
      </c>
      <c r="C269" s="14" t="s">
        <v>671</v>
      </c>
      <c r="D269" s="138" t="str">
        <f t="shared" si="25"/>
        <v>k is variable parameter: RO2XRO</v>
      </c>
      <c r="E269" s="98"/>
      <c r="F269" s="98"/>
      <c r="G269" s="98"/>
      <c r="H269" s="39" t="s">
        <v>164</v>
      </c>
      <c r="I269" s="49" t="s">
        <v>168</v>
      </c>
      <c r="K269" s="116"/>
      <c r="L269" s="120"/>
      <c r="M269" s="117"/>
      <c r="N269" s="116"/>
      <c r="O269" s="117"/>
      <c r="P269" s="118"/>
      <c r="Q269" s="117"/>
      <c r="S269" s="40"/>
      <c r="T269" s="116"/>
      <c r="U269" s="117"/>
      <c r="V269" s="116"/>
      <c r="W269" s="116"/>
      <c r="X269" s="117"/>
      <c r="Y269" s="117"/>
      <c r="CU269" s="1" t="s">
        <v>671</v>
      </c>
      <c r="CX269" s="2">
        <f t="shared" si="24"/>
        <v>0</v>
      </c>
    </row>
    <row r="270" spans="2:102" ht="15">
      <c r="B270" s="49" t="s">
        <v>672</v>
      </c>
      <c r="C270" s="14" t="s">
        <v>673</v>
      </c>
      <c r="D270" s="138" t="str">
        <f t="shared" si="25"/>
        <v>k is variable parameter: RO2RO</v>
      </c>
      <c r="E270" s="98"/>
      <c r="F270" s="98"/>
      <c r="G270" s="98"/>
      <c r="H270" s="39" t="s">
        <v>164</v>
      </c>
      <c r="I270" s="49" t="s">
        <v>165</v>
      </c>
      <c r="K270" s="116"/>
      <c r="L270" s="120"/>
      <c r="M270" s="117"/>
      <c r="N270" s="116"/>
      <c r="O270" s="117"/>
      <c r="P270" s="118"/>
      <c r="Q270" s="117"/>
      <c r="S270" s="40"/>
      <c r="T270" s="116"/>
      <c r="U270" s="117"/>
      <c r="V270" s="116"/>
      <c r="W270" s="116"/>
      <c r="X270" s="117"/>
      <c r="Y270" s="117"/>
      <c r="CU270" s="1" t="s">
        <v>673</v>
      </c>
      <c r="CX270" s="2">
        <f t="shared" si="24"/>
        <v>0</v>
      </c>
    </row>
    <row r="271" spans="2:102" ht="15">
      <c r="B271" s="49" t="s">
        <v>674</v>
      </c>
      <c r="C271" s="14" t="s">
        <v>675</v>
      </c>
      <c r="D271" s="138" t="str">
        <f t="shared" si="25"/>
        <v>k is variable parameter: RO2XRO</v>
      </c>
      <c r="E271" s="98"/>
      <c r="F271" s="98"/>
      <c r="G271" s="98"/>
      <c r="H271" s="39" t="s">
        <v>164</v>
      </c>
      <c r="I271" s="49" t="s">
        <v>168</v>
      </c>
      <c r="K271" s="116"/>
      <c r="L271" s="120"/>
      <c r="M271" s="117"/>
      <c r="N271" s="116"/>
      <c r="O271" s="117"/>
      <c r="P271" s="118"/>
      <c r="Q271" s="117"/>
      <c r="S271" s="40"/>
      <c r="T271" s="116"/>
      <c r="U271" s="117"/>
      <c r="V271" s="116"/>
      <c r="W271" s="116"/>
      <c r="X271" s="117"/>
      <c r="Y271" s="117"/>
      <c r="CU271" s="1" t="s">
        <v>675</v>
      </c>
      <c r="CX271" s="2">
        <f t="shared" si="24"/>
        <v>0</v>
      </c>
    </row>
    <row r="272" spans="2:102" ht="15">
      <c r="B272" s="49" t="s">
        <v>676</v>
      </c>
      <c r="C272" s="14" t="s">
        <v>681</v>
      </c>
      <c r="D272" s="138" t="str">
        <f t="shared" si="25"/>
        <v>k is variable parameter: RO2RO</v>
      </c>
      <c r="E272" s="98"/>
      <c r="F272" s="98"/>
      <c r="G272" s="98"/>
      <c r="H272" s="39" t="s">
        <v>164</v>
      </c>
      <c r="I272" s="49" t="s">
        <v>165</v>
      </c>
      <c r="K272" s="116"/>
      <c r="L272" s="120"/>
      <c r="M272" s="117"/>
      <c r="N272" s="116"/>
      <c r="O272" s="117"/>
      <c r="P272" s="118"/>
      <c r="Q272" s="117"/>
      <c r="S272" s="40"/>
      <c r="T272" s="116"/>
      <c r="U272" s="117"/>
      <c r="V272" s="116"/>
      <c r="W272" s="116"/>
      <c r="X272" s="117"/>
      <c r="Y272" s="117"/>
      <c r="CU272" s="1" t="s">
        <v>681</v>
      </c>
      <c r="CX272" s="2">
        <f t="shared" si="24"/>
        <v>0</v>
      </c>
    </row>
    <row r="273" spans="2:102" ht="15">
      <c r="B273" s="49" t="s">
        <v>678</v>
      </c>
      <c r="C273" s="14" t="s">
        <v>683</v>
      </c>
      <c r="D273" s="138" t="str">
        <f t="shared" si="25"/>
        <v>k is variable parameter: RO2XRO</v>
      </c>
      <c r="E273" s="98"/>
      <c r="F273" s="98"/>
      <c r="G273" s="98"/>
      <c r="H273" s="39" t="s">
        <v>164</v>
      </c>
      <c r="I273" s="49" t="s">
        <v>168</v>
      </c>
      <c r="K273" s="116"/>
      <c r="L273" s="120"/>
      <c r="M273" s="117"/>
      <c r="N273" s="116"/>
      <c r="O273" s="117"/>
      <c r="P273" s="118"/>
      <c r="Q273" s="117"/>
      <c r="S273" s="40"/>
      <c r="T273" s="116"/>
      <c r="U273" s="117"/>
      <c r="V273" s="116"/>
      <c r="W273" s="116"/>
      <c r="X273" s="117"/>
      <c r="Y273" s="117"/>
      <c r="CU273" s="1" t="s">
        <v>683</v>
      </c>
      <c r="CX273" s="2">
        <f t="shared" si="24"/>
        <v>0</v>
      </c>
    </row>
    <row r="274" spans="2:102" ht="15">
      <c r="B274" s="49" t="s">
        <v>680</v>
      </c>
      <c r="C274" s="14" t="s">
        <v>685</v>
      </c>
      <c r="D274" s="138" t="str">
        <f t="shared" si="25"/>
        <v>k is variable parameter: RO2RO</v>
      </c>
      <c r="E274" s="98"/>
      <c r="F274" s="98"/>
      <c r="G274" s="98"/>
      <c r="H274" s="39" t="s">
        <v>164</v>
      </c>
      <c r="I274" s="49" t="s">
        <v>165</v>
      </c>
      <c r="K274" s="116"/>
      <c r="L274" s="120"/>
      <c r="M274" s="117"/>
      <c r="N274" s="116"/>
      <c r="O274" s="117"/>
      <c r="P274" s="118"/>
      <c r="Q274" s="117"/>
      <c r="S274" s="40"/>
      <c r="T274" s="116"/>
      <c r="U274" s="117"/>
      <c r="V274" s="116"/>
      <c r="W274" s="116"/>
      <c r="X274" s="117"/>
      <c r="Y274" s="117"/>
      <c r="CU274" s="1" t="s">
        <v>685</v>
      </c>
      <c r="CX274" s="2">
        <f t="shared" si="24"/>
        <v>0</v>
      </c>
    </row>
    <row r="275" spans="2:102" ht="15">
      <c r="B275" s="49" t="s">
        <v>682</v>
      </c>
      <c r="C275" s="14" t="s">
        <v>687</v>
      </c>
      <c r="D275" s="138" t="str">
        <f t="shared" si="25"/>
        <v>k is variable parameter: RO2XRO</v>
      </c>
      <c r="E275" s="98"/>
      <c r="F275" s="98"/>
      <c r="G275" s="98"/>
      <c r="H275" s="39" t="s">
        <v>164</v>
      </c>
      <c r="I275" s="49" t="s">
        <v>168</v>
      </c>
      <c r="K275" s="116"/>
      <c r="L275" s="120"/>
      <c r="M275" s="117"/>
      <c r="N275" s="116"/>
      <c r="O275" s="117"/>
      <c r="P275" s="118"/>
      <c r="Q275" s="117"/>
      <c r="S275" s="40"/>
      <c r="T275" s="116"/>
      <c r="U275" s="117"/>
      <c r="V275" s="116"/>
      <c r="W275" s="116"/>
      <c r="X275" s="117"/>
      <c r="Y275" s="117"/>
      <c r="CU275" s="1" t="s">
        <v>687</v>
      </c>
      <c r="CX275" s="2">
        <f t="shared" si="24"/>
        <v>0</v>
      </c>
    </row>
    <row r="276" spans="2:102" ht="15">
      <c r="B276" s="49" t="s">
        <v>684</v>
      </c>
      <c r="C276" s="14" t="s">
        <v>689</v>
      </c>
      <c r="D276" s="138" t="str">
        <f t="shared" si="25"/>
        <v>k is variable parameter: RO2RO</v>
      </c>
      <c r="E276" s="98"/>
      <c r="F276" s="98"/>
      <c r="G276" s="98"/>
      <c r="H276" s="39" t="s">
        <v>164</v>
      </c>
      <c r="I276" s="49" t="s">
        <v>165</v>
      </c>
      <c r="K276" s="116"/>
      <c r="L276" s="120"/>
      <c r="M276" s="117"/>
      <c r="N276" s="116"/>
      <c r="O276" s="117"/>
      <c r="P276" s="118"/>
      <c r="Q276" s="117"/>
      <c r="S276" s="40"/>
      <c r="T276" s="116"/>
      <c r="U276" s="117"/>
      <c r="V276" s="116"/>
      <c r="W276" s="116"/>
      <c r="X276" s="117"/>
      <c r="Y276" s="117"/>
      <c r="CU276" s="1" t="s">
        <v>689</v>
      </c>
      <c r="CX276" s="2">
        <f t="shared" si="24"/>
        <v>0</v>
      </c>
    </row>
    <row r="277" spans="2:102" ht="15">
      <c r="B277" s="49" t="s">
        <v>686</v>
      </c>
      <c r="C277" s="14" t="s">
        <v>691</v>
      </c>
      <c r="D277" s="138" t="str">
        <f t="shared" si="25"/>
        <v>k is variable parameter: RO2XRO</v>
      </c>
      <c r="E277" s="98"/>
      <c r="F277" s="98"/>
      <c r="G277" s="98"/>
      <c r="H277" s="39" t="s">
        <v>164</v>
      </c>
      <c r="I277" s="49" t="s">
        <v>168</v>
      </c>
      <c r="K277" s="116"/>
      <c r="L277" s="120"/>
      <c r="M277" s="117"/>
      <c r="N277" s="116"/>
      <c r="O277" s="117"/>
      <c r="P277" s="118"/>
      <c r="Q277" s="117"/>
      <c r="S277" s="40"/>
      <c r="T277" s="116"/>
      <c r="U277" s="117"/>
      <c r="V277" s="116"/>
      <c r="W277" s="116"/>
      <c r="X277" s="117"/>
      <c r="Y277" s="117"/>
      <c r="CU277" s="1" t="s">
        <v>691</v>
      </c>
      <c r="CX277" s="2">
        <f t="shared" si="24"/>
        <v>0</v>
      </c>
    </row>
    <row r="278" spans="2:102" ht="15">
      <c r="B278" s="49" t="s">
        <v>688</v>
      </c>
      <c r="C278" s="14" t="s">
        <v>693</v>
      </c>
      <c r="D278" s="138" t="str">
        <f t="shared" si="25"/>
        <v>k is variable parameter: RO2RO</v>
      </c>
      <c r="E278" s="98"/>
      <c r="F278" s="98"/>
      <c r="G278" s="98"/>
      <c r="H278" s="39" t="s">
        <v>164</v>
      </c>
      <c r="I278" s="49" t="s">
        <v>165</v>
      </c>
      <c r="K278" s="116"/>
      <c r="L278" s="120"/>
      <c r="M278" s="117"/>
      <c r="N278" s="116"/>
      <c r="O278" s="117"/>
      <c r="P278" s="118"/>
      <c r="Q278" s="117"/>
      <c r="S278" s="40"/>
      <c r="T278" s="116"/>
      <c r="U278" s="117"/>
      <c r="V278" s="116"/>
      <c r="W278" s="116"/>
      <c r="X278" s="117"/>
      <c r="Y278" s="117"/>
      <c r="CU278" s="1" t="s">
        <v>693</v>
      </c>
      <c r="CX278" s="2">
        <f t="shared" si="24"/>
        <v>0</v>
      </c>
    </row>
    <row r="279" spans="2:102" ht="15">
      <c r="B279" s="49" t="s">
        <v>690</v>
      </c>
      <c r="C279" s="14" t="s">
        <v>695</v>
      </c>
      <c r="D279" s="138" t="str">
        <f t="shared" si="25"/>
        <v>k is variable parameter: RO2XRO</v>
      </c>
      <c r="E279" s="98"/>
      <c r="F279" s="98"/>
      <c r="G279" s="98"/>
      <c r="H279" s="39" t="s">
        <v>164</v>
      </c>
      <c r="I279" s="49" t="s">
        <v>168</v>
      </c>
      <c r="K279" s="116"/>
      <c r="L279" s="120"/>
      <c r="M279" s="117"/>
      <c r="N279" s="116"/>
      <c r="O279" s="117"/>
      <c r="P279" s="118"/>
      <c r="Q279" s="117"/>
      <c r="S279" s="40"/>
      <c r="T279" s="116"/>
      <c r="U279" s="117"/>
      <c r="V279" s="116"/>
      <c r="W279" s="116"/>
      <c r="X279" s="117"/>
      <c r="Y279" s="117"/>
      <c r="CU279" s="1" t="s">
        <v>695</v>
      </c>
      <c r="CX279" s="2">
        <f t="shared" si="24"/>
        <v>0</v>
      </c>
    </row>
    <row r="280" spans="2:102" ht="15">
      <c r="B280" s="49" t="s">
        <v>692</v>
      </c>
      <c r="C280" s="14" t="s">
        <v>697</v>
      </c>
      <c r="D280" s="138" t="str">
        <f t="shared" si="25"/>
        <v>k is variable parameter: RO2RO</v>
      </c>
      <c r="E280" s="98"/>
      <c r="F280" s="98"/>
      <c r="G280" s="98"/>
      <c r="H280" s="39" t="s">
        <v>164</v>
      </c>
      <c r="I280" s="49" t="s">
        <v>165</v>
      </c>
      <c r="K280" s="116"/>
      <c r="L280" s="120"/>
      <c r="M280" s="117"/>
      <c r="N280" s="116"/>
      <c r="O280" s="117"/>
      <c r="P280" s="118"/>
      <c r="Q280" s="117"/>
      <c r="S280" s="40"/>
      <c r="T280" s="116"/>
      <c r="U280" s="117"/>
      <c r="V280" s="116"/>
      <c r="W280" s="116"/>
      <c r="X280" s="117"/>
      <c r="Y280" s="117"/>
      <c r="CU280" s="1" t="s">
        <v>697</v>
      </c>
      <c r="CX280" s="2">
        <f t="shared" si="24"/>
        <v>0</v>
      </c>
    </row>
    <row r="281" spans="2:102" ht="15">
      <c r="B281" s="49" t="s">
        <v>694</v>
      </c>
      <c r="C281" s="14" t="s">
        <v>699</v>
      </c>
      <c r="D281" s="138" t="str">
        <f t="shared" si="25"/>
        <v>k is variable parameter: RO2XRO</v>
      </c>
      <c r="E281" s="98"/>
      <c r="F281" s="98"/>
      <c r="G281" s="98"/>
      <c r="H281" s="39" t="s">
        <v>164</v>
      </c>
      <c r="I281" s="49" t="s">
        <v>168</v>
      </c>
      <c r="K281" s="116"/>
      <c r="L281" s="120"/>
      <c r="M281" s="117"/>
      <c r="N281" s="116"/>
      <c r="O281" s="117"/>
      <c r="P281" s="118"/>
      <c r="Q281" s="117"/>
      <c r="S281" s="40"/>
      <c r="T281" s="116"/>
      <c r="U281" s="117"/>
      <c r="V281" s="116"/>
      <c r="W281" s="116"/>
      <c r="X281" s="117"/>
      <c r="Y281" s="117"/>
      <c r="CU281" s="1" t="s">
        <v>699</v>
      </c>
      <c r="CX281" s="2">
        <f t="shared" si="24"/>
        <v>0</v>
      </c>
    </row>
    <row r="282" spans="2:102" ht="15">
      <c r="B282" s="49" t="s">
        <v>696</v>
      </c>
      <c r="C282" s="14" t="s">
        <v>701</v>
      </c>
      <c r="D282" s="138" t="str">
        <f t="shared" si="25"/>
        <v>k is variable parameter: RO2RO</v>
      </c>
      <c r="E282" s="98"/>
      <c r="F282" s="98"/>
      <c r="G282" s="98"/>
      <c r="H282" s="39" t="s">
        <v>164</v>
      </c>
      <c r="I282" s="49" t="s">
        <v>165</v>
      </c>
      <c r="K282" s="116"/>
      <c r="L282" s="120"/>
      <c r="M282" s="117"/>
      <c r="N282" s="116"/>
      <c r="O282" s="117"/>
      <c r="P282" s="118"/>
      <c r="Q282" s="117"/>
      <c r="S282" s="40"/>
      <c r="T282" s="116"/>
      <c r="U282" s="117"/>
      <c r="V282" s="116"/>
      <c r="W282" s="116"/>
      <c r="X282" s="117"/>
      <c r="Y282" s="117"/>
      <c r="CU282" s="1" t="s">
        <v>701</v>
      </c>
      <c r="CX282" s="2">
        <f t="shared" si="24"/>
        <v>0</v>
      </c>
    </row>
    <row r="283" spans="2:102" ht="15">
      <c r="B283" s="49" t="s">
        <v>698</v>
      </c>
      <c r="C283" s="14" t="s">
        <v>703</v>
      </c>
      <c r="D283" s="138" t="str">
        <f t="shared" si="25"/>
        <v>k is variable parameter: RO2XRO</v>
      </c>
      <c r="E283" s="98"/>
      <c r="F283" s="98"/>
      <c r="G283" s="98"/>
      <c r="H283" s="39" t="s">
        <v>164</v>
      </c>
      <c r="I283" s="49" t="s">
        <v>168</v>
      </c>
      <c r="K283" s="116"/>
      <c r="L283" s="120"/>
      <c r="M283" s="117"/>
      <c r="N283" s="116"/>
      <c r="O283" s="117"/>
      <c r="P283" s="118"/>
      <c r="Q283" s="117"/>
      <c r="S283" s="40"/>
      <c r="T283" s="116"/>
      <c r="U283" s="117"/>
      <c r="V283" s="116"/>
      <c r="W283" s="116"/>
      <c r="X283" s="117"/>
      <c r="Y283" s="117"/>
      <c r="CU283" s="1" t="s">
        <v>703</v>
      </c>
      <c r="CX283" s="2">
        <f t="shared" si="24"/>
        <v>0</v>
      </c>
    </row>
    <row r="284" spans="2:102" ht="15">
      <c r="B284" s="49" t="s">
        <v>700</v>
      </c>
      <c r="C284" s="14" t="s">
        <v>705</v>
      </c>
      <c r="D284" s="138" t="str">
        <f t="shared" si="25"/>
        <v>k is variable parameter: RO2RO</v>
      </c>
      <c r="E284" s="98"/>
      <c r="F284" s="98"/>
      <c r="G284" s="98"/>
      <c r="H284" s="39" t="s">
        <v>164</v>
      </c>
      <c r="I284" s="49" t="s">
        <v>165</v>
      </c>
      <c r="K284" s="116"/>
      <c r="L284" s="120"/>
      <c r="M284" s="117"/>
      <c r="N284" s="116"/>
      <c r="O284" s="117"/>
      <c r="P284" s="118"/>
      <c r="Q284" s="117"/>
      <c r="S284" s="40"/>
      <c r="T284" s="116"/>
      <c r="U284" s="117"/>
      <c r="V284" s="116"/>
      <c r="W284" s="116"/>
      <c r="X284" s="117"/>
      <c r="Y284" s="117"/>
      <c r="CU284" s="1" t="s">
        <v>705</v>
      </c>
      <c r="CX284" s="2">
        <f t="shared" si="24"/>
        <v>0</v>
      </c>
    </row>
    <row r="285" spans="2:102" ht="15">
      <c r="B285" s="49" t="s">
        <v>702</v>
      </c>
      <c r="C285" s="14" t="s">
        <v>707</v>
      </c>
      <c r="D285" s="138" t="str">
        <f t="shared" si="25"/>
        <v>k is variable parameter: RO2XRO</v>
      </c>
      <c r="E285" s="98"/>
      <c r="F285" s="98"/>
      <c r="G285" s="98"/>
      <c r="H285" s="39" t="s">
        <v>164</v>
      </c>
      <c r="I285" s="49" t="s">
        <v>168</v>
      </c>
      <c r="K285" s="116"/>
      <c r="L285" s="120"/>
      <c r="M285" s="117"/>
      <c r="N285" s="116"/>
      <c r="O285" s="117"/>
      <c r="P285" s="118"/>
      <c r="Q285" s="117"/>
      <c r="S285" s="40"/>
      <c r="T285" s="116"/>
      <c r="U285" s="117"/>
      <c r="V285" s="116"/>
      <c r="W285" s="116"/>
      <c r="X285" s="117"/>
      <c r="Y285" s="117"/>
      <c r="CU285" s="1" t="s">
        <v>707</v>
      </c>
      <c r="CX285" s="2">
        <f t="shared" si="24"/>
        <v>0</v>
      </c>
    </row>
    <row r="286" spans="2:102" ht="15">
      <c r="B286" s="49" t="s">
        <v>704</v>
      </c>
      <c r="C286" s="14" t="s">
        <v>709</v>
      </c>
      <c r="D286" s="138" t="str">
        <f t="shared" si="25"/>
        <v>k is variable parameter: RO2RO</v>
      </c>
      <c r="E286" s="98"/>
      <c r="F286" s="98"/>
      <c r="G286" s="98"/>
      <c r="H286" s="39" t="s">
        <v>164</v>
      </c>
      <c r="I286" s="49" t="s">
        <v>165</v>
      </c>
      <c r="K286" s="116"/>
      <c r="L286" s="120"/>
      <c r="M286" s="117"/>
      <c r="N286" s="116"/>
      <c r="O286" s="117"/>
      <c r="P286" s="118"/>
      <c r="Q286" s="117"/>
      <c r="S286" s="40"/>
      <c r="T286" s="116"/>
      <c r="U286" s="117"/>
      <c r="V286" s="116"/>
      <c r="W286" s="116"/>
      <c r="X286" s="117"/>
      <c r="Y286" s="117"/>
      <c r="CU286" s="1" t="s">
        <v>709</v>
      </c>
      <c r="CX286" s="2">
        <f t="shared" si="24"/>
        <v>0</v>
      </c>
    </row>
    <row r="287" spans="2:102" ht="15">
      <c r="B287" s="49" t="s">
        <v>706</v>
      </c>
      <c r="C287" s="14" t="s">
        <v>711</v>
      </c>
      <c r="D287" s="138" t="str">
        <f t="shared" si="25"/>
        <v>k is variable parameter: RO2XRO</v>
      </c>
      <c r="E287" s="98"/>
      <c r="F287" s="98"/>
      <c r="G287" s="98"/>
      <c r="H287" s="39" t="s">
        <v>164</v>
      </c>
      <c r="I287" s="49" t="s">
        <v>168</v>
      </c>
      <c r="K287" s="116"/>
      <c r="L287" s="120"/>
      <c r="M287" s="117"/>
      <c r="N287" s="116"/>
      <c r="O287" s="117"/>
      <c r="P287" s="118"/>
      <c r="Q287" s="117"/>
      <c r="S287" s="40"/>
      <c r="T287" s="116"/>
      <c r="U287" s="117"/>
      <c r="V287" s="116"/>
      <c r="W287" s="116"/>
      <c r="X287" s="117"/>
      <c r="Y287" s="117"/>
      <c r="CU287" s="1" t="s">
        <v>711</v>
      </c>
      <c r="CX287" s="2">
        <f t="shared" si="24"/>
        <v>0</v>
      </c>
    </row>
    <row r="288" spans="2:102" ht="15">
      <c r="B288" s="49" t="s">
        <v>708</v>
      </c>
      <c r="C288" s="14" t="s">
        <v>713</v>
      </c>
      <c r="D288" s="138" t="str">
        <f t="shared" si="25"/>
        <v>k is variable parameter: RO2RO</v>
      </c>
      <c r="E288" s="98"/>
      <c r="F288" s="98"/>
      <c r="G288" s="98"/>
      <c r="H288" s="39" t="s">
        <v>164</v>
      </c>
      <c r="I288" s="49" t="s">
        <v>165</v>
      </c>
      <c r="K288" s="116"/>
      <c r="L288" s="120"/>
      <c r="M288" s="117"/>
      <c r="N288" s="116"/>
      <c r="O288" s="117"/>
      <c r="P288" s="118"/>
      <c r="Q288" s="117"/>
      <c r="S288" s="40"/>
      <c r="T288" s="116"/>
      <c r="U288" s="117"/>
      <c r="V288" s="116"/>
      <c r="W288" s="116"/>
      <c r="X288" s="117"/>
      <c r="Y288" s="117"/>
      <c r="CU288" s="1" t="s">
        <v>713</v>
      </c>
      <c r="CX288" s="2">
        <f t="shared" si="24"/>
        <v>0</v>
      </c>
    </row>
    <row r="289" spans="2:102" ht="15">
      <c r="B289" s="49" t="s">
        <v>710</v>
      </c>
      <c r="C289" s="14" t="s">
        <v>715</v>
      </c>
      <c r="D289" s="138" t="str">
        <f t="shared" si="25"/>
        <v>k is variable parameter: RO2XRO</v>
      </c>
      <c r="E289" s="98"/>
      <c r="F289" s="98"/>
      <c r="G289" s="98"/>
      <c r="H289" s="39" t="s">
        <v>164</v>
      </c>
      <c r="I289" s="49" t="s">
        <v>168</v>
      </c>
      <c r="K289" s="116"/>
      <c r="L289" s="120"/>
      <c r="M289" s="117"/>
      <c r="N289" s="116"/>
      <c r="O289" s="117"/>
      <c r="P289" s="118"/>
      <c r="Q289" s="117"/>
      <c r="S289" s="40"/>
      <c r="T289" s="116"/>
      <c r="U289" s="117"/>
      <c r="V289" s="116"/>
      <c r="W289" s="116"/>
      <c r="X289" s="117"/>
      <c r="Y289" s="117"/>
      <c r="CU289" s="1" t="s">
        <v>715</v>
      </c>
      <c r="CX289" s="2">
        <f t="shared" si="24"/>
        <v>0</v>
      </c>
    </row>
    <row r="290" spans="2:102" ht="15">
      <c r="B290" s="49" t="s">
        <v>712</v>
      </c>
      <c r="C290" s="14" t="s">
        <v>717</v>
      </c>
      <c r="D290" s="138" t="str">
        <f t="shared" si="25"/>
        <v>k is variable parameter: RO2RO</v>
      </c>
      <c r="E290" s="98"/>
      <c r="F290" s="98"/>
      <c r="G290" s="98"/>
      <c r="H290" s="39" t="s">
        <v>164</v>
      </c>
      <c r="I290" s="49" t="s">
        <v>165</v>
      </c>
      <c r="K290" s="116"/>
      <c r="L290" s="120"/>
      <c r="M290" s="117"/>
      <c r="N290" s="116"/>
      <c r="O290" s="117"/>
      <c r="P290" s="118"/>
      <c r="Q290" s="117"/>
      <c r="S290" s="40"/>
      <c r="T290" s="116"/>
      <c r="U290" s="117"/>
      <c r="V290" s="116"/>
      <c r="W290" s="116"/>
      <c r="X290" s="117"/>
      <c r="Y290" s="117"/>
      <c r="CU290" s="1" t="s">
        <v>717</v>
      </c>
      <c r="CX290" s="2">
        <f t="shared" si="24"/>
        <v>0</v>
      </c>
    </row>
    <row r="291" spans="2:102" ht="15">
      <c r="B291" s="49" t="s">
        <v>714</v>
      </c>
      <c r="C291" s="14" t="s">
        <v>719</v>
      </c>
      <c r="D291" s="138" t="str">
        <f t="shared" si="25"/>
        <v>k is variable parameter: RO2XRO</v>
      </c>
      <c r="E291" s="98"/>
      <c r="F291" s="98"/>
      <c r="G291" s="98"/>
      <c r="H291" s="39" t="s">
        <v>164</v>
      </c>
      <c r="I291" s="49" t="s">
        <v>168</v>
      </c>
      <c r="K291" s="116"/>
      <c r="L291" s="120"/>
      <c r="M291" s="117"/>
      <c r="N291" s="116"/>
      <c r="O291" s="117"/>
      <c r="P291" s="118"/>
      <c r="Q291" s="117"/>
      <c r="S291" s="40"/>
      <c r="T291" s="116"/>
      <c r="U291" s="117"/>
      <c r="V291" s="116"/>
      <c r="W291" s="116"/>
      <c r="X291" s="117"/>
      <c r="Y291" s="117"/>
      <c r="CU291" s="1" t="s">
        <v>719</v>
      </c>
      <c r="CX291" s="2">
        <f t="shared" si="24"/>
        <v>0</v>
      </c>
    </row>
    <row r="292" spans="2:102" ht="15">
      <c r="B292" s="49" t="s">
        <v>716</v>
      </c>
      <c r="C292" s="14" t="s">
        <v>721</v>
      </c>
      <c r="D292" s="138" t="str">
        <f t="shared" si="25"/>
        <v>k is variable parameter: RO2RO</v>
      </c>
      <c r="E292" s="98"/>
      <c r="F292" s="98"/>
      <c r="G292" s="98"/>
      <c r="H292" s="39" t="s">
        <v>164</v>
      </c>
      <c r="I292" s="49" t="s">
        <v>165</v>
      </c>
      <c r="K292" s="116"/>
      <c r="L292" s="120"/>
      <c r="M292" s="117"/>
      <c r="N292" s="116"/>
      <c r="O292" s="117"/>
      <c r="P292" s="118"/>
      <c r="Q292" s="117"/>
      <c r="S292" s="40"/>
      <c r="T292" s="116"/>
      <c r="U292" s="117"/>
      <c r="V292" s="116"/>
      <c r="W292" s="116"/>
      <c r="X292" s="117"/>
      <c r="Y292" s="117"/>
      <c r="CU292" s="1" t="s">
        <v>721</v>
      </c>
      <c r="CX292" s="2">
        <f t="shared" si="24"/>
        <v>0</v>
      </c>
    </row>
    <row r="293" spans="2:102" ht="15">
      <c r="B293" s="49" t="s">
        <v>718</v>
      </c>
      <c r="C293" s="14" t="s">
        <v>723</v>
      </c>
      <c r="D293" s="138" t="str">
        <f t="shared" si="25"/>
        <v>k is variable parameter: RO2XRO</v>
      </c>
      <c r="E293" s="98"/>
      <c r="F293" s="98"/>
      <c r="G293" s="98"/>
      <c r="H293" s="39" t="s">
        <v>164</v>
      </c>
      <c r="I293" s="49" t="s">
        <v>168</v>
      </c>
      <c r="K293" s="116"/>
      <c r="L293" s="120"/>
      <c r="M293" s="117"/>
      <c r="N293" s="116"/>
      <c r="O293" s="117"/>
      <c r="P293" s="118"/>
      <c r="Q293" s="117"/>
      <c r="S293" s="40"/>
      <c r="T293" s="116"/>
      <c r="U293" s="117"/>
      <c r="V293" s="116"/>
      <c r="W293" s="116"/>
      <c r="X293" s="117"/>
      <c r="Y293" s="117"/>
      <c r="CU293" s="1" t="s">
        <v>723</v>
      </c>
      <c r="CX293" s="2">
        <f t="shared" si="24"/>
        <v>0</v>
      </c>
    </row>
    <row r="294" spans="2:102" ht="15">
      <c r="B294" s="49" t="s">
        <v>720</v>
      </c>
      <c r="C294" s="14" t="s">
        <v>725</v>
      </c>
      <c r="D294" s="138" t="str">
        <f t="shared" si="25"/>
        <v>k is variable parameter: RO2RO</v>
      </c>
      <c r="E294" s="98"/>
      <c r="F294" s="98"/>
      <c r="G294" s="98"/>
      <c r="H294" s="39" t="s">
        <v>164</v>
      </c>
      <c r="I294" s="49" t="s">
        <v>165</v>
      </c>
      <c r="K294" s="116"/>
      <c r="L294" s="120"/>
      <c r="M294" s="117"/>
      <c r="N294" s="116"/>
      <c r="O294" s="117"/>
      <c r="P294" s="118"/>
      <c r="Q294" s="117"/>
      <c r="S294" s="40"/>
      <c r="T294" s="116"/>
      <c r="U294" s="117"/>
      <c r="V294" s="116"/>
      <c r="W294" s="116"/>
      <c r="X294" s="117"/>
      <c r="Y294" s="117"/>
      <c r="CU294" s="1" t="s">
        <v>725</v>
      </c>
      <c r="CX294" s="2">
        <f t="shared" si="24"/>
        <v>0</v>
      </c>
    </row>
    <row r="295" spans="2:102" ht="15">
      <c r="B295" s="49" t="s">
        <v>722</v>
      </c>
      <c r="C295" s="14" t="s">
        <v>727</v>
      </c>
      <c r="D295" s="138" t="str">
        <f t="shared" si="25"/>
        <v>k is variable parameter: RO2XRO</v>
      </c>
      <c r="E295" s="98"/>
      <c r="F295" s="98"/>
      <c r="G295" s="98"/>
      <c r="H295" s="39" t="s">
        <v>164</v>
      </c>
      <c r="I295" s="49" t="s">
        <v>168</v>
      </c>
      <c r="K295" s="116"/>
      <c r="L295" s="120"/>
      <c r="M295" s="117"/>
      <c r="N295" s="116"/>
      <c r="O295" s="117"/>
      <c r="P295" s="118"/>
      <c r="Q295" s="117"/>
      <c r="S295" s="40"/>
      <c r="T295" s="116"/>
      <c r="U295" s="117"/>
      <c r="V295" s="116"/>
      <c r="W295" s="116"/>
      <c r="X295" s="117"/>
      <c r="Y295" s="117"/>
      <c r="CU295" s="1" t="s">
        <v>727</v>
      </c>
      <c r="CX295" s="2">
        <f t="shared" si="24"/>
        <v>0</v>
      </c>
    </row>
    <row r="296" spans="2:102" ht="15">
      <c r="B296" s="49" t="s">
        <v>724</v>
      </c>
      <c r="C296" s="14" t="s">
        <v>729</v>
      </c>
      <c r="D296" s="138" t="str">
        <f t="shared" si="25"/>
        <v>k is variable parameter: RO2RO</v>
      </c>
      <c r="E296" s="98"/>
      <c r="F296" s="98"/>
      <c r="G296" s="98"/>
      <c r="H296" s="39" t="s">
        <v>164</v>
      </c>
      <c r="I296" s="49" t="s">
        <v>165</v>
      </c>
      <c r="K296" s="116"/>
      <c r="L296" s="120"/>
      <c r="M296" s="117"/>
      <c r="N296" s="116"/>
      <c r="O296" s="117"/>
      <c r="P296" s="118"/>
      <c r="Q296" s="117"/>
      <c r="S296" s="40"/>
      <c r="T296" s="116"/>
      <c r="U296" s="117"/>
      <c r="V296" s="116"/>
      <c r="W296" s="116"/>
      <c r="X296" s="117"/>
      <c r="Y296" s="117"/>
      <c r="CU296" s="1" t="s">
        <v>729</v>
      </c>
      <c r="CX296" s="2">
        <f t="shared" si="24"/>
        <v>0</v>
      </c>
    </row>
    <row r="297" spans="2:102" ht="15">
      <c r="B297" s="49" t="s">
        <v>726</v>
      </c>
      <c r="C297" s="14" t="s">
        <v>731</v>
      </c>
      <c r="D297" s="138" t="str">
        <f t="shared" si="25"/>
        <v>k is variable parameter: RO2XRO</v>
      </c>
      <c r="E297" s="98"/>
      <c r="F297" s="98"/>
      <c r="G297" s="98"/>
      <c r="H297" s="39" t="s">
        <v>164</v>
      </c>
      <c r="I297" s="49" t="s">
        <v>168</v>
      </c>
      <c r="K297" s="116"/>
      <c r="L297" s="120"/>
      <c r="M297" s="117"/>
      <c r="N297" s="116"/>
      <c r="O297" s="117"/>
      <c r="P297" s="118"/>
      <c r="Q297" s="117"/>
      <c r="S297" s="40"/>
      <c r="T297" s="116"/>
      <c r="U297" s="117"/>
      <c r="V297" s="116"/>
      <c r="W297" s="116"/>
      <c r="X297" s="117"/>
      <c r="Y297" s="117"/>
      <c r="CU297" s="1" t="s">
        <v>731</v>
      </c>
      <c r="CX297" s="2">
        <f t="shared" si="24"/>
        <v>0</v>
      </c>
    </row>
    <row r="298" spans="2:102" ht="15">
      <c r="B298" s="49" t="s">
        <v>728</v>
      </c>
      <c r="C298" s="14" t="s">
        <v>733</v>
      </c>
      <c r="D298" s="138" t="str">
        <f t="shared" si="25"/>
        <v>k is variable parameter: RO2RO</v>
      </c>
      <c r="E298" s="98"/>
      <c r="F298" s="98"/>
      <c r="G298" s="98"/>
      <c r="H298" s="39" t="s">
        <v>164</v>
      </c>
      <c r="I298" s="49" t="s">
        <v>165</v>
      </c>
      <c r="K298" s="116"/>
      <c r="L298" s="120"/>
      <c r="M298" s="117"/>
      <c r="N298" s="116"/>
      <c r="O298" s="117"/>
      <c r="P298" s="118"/>
      <c r="Q298" s="117"/>
      <c r="S298" s="40"/>
      <c r="T298" s="116"/>
      <c r="U298" s="117"/>
      <c r="V298" s="116"/>
      <c r="W298" s="116"/>
      <c r="X298" s="117"/>
      <c r="Y298" s="117"/>
      <c r="CU298" s="1" t="s">
        <v>733</v>
      </c>
      <c r="CX298" s="2">
        <f t="shared" si="24"/>
        <v>0</v>
      </c>
    </row>
    <row r="299" spans="2:102" ht="15">
      <c r="B299" s="49" t="s">
        <v>730</v>
      </c>
      <c r="C299" s="14" t="s">
        <v>735</v>
      </c>
      <c r="D299" s="138" t="str">
        <f t="shared" si="25"/>
        <v>k is variable parameter: RO2XRO</v>
      </c>
      <c r="E299" s="98"/>
      <c r="F299" s="98"/>
      <c r="G299" s="98"/>
      <c r="H299" s="39" t="s">
        <v>164</v>
      </c>
      <c r="I299" s="49" t="s">
        <v>168</v>
      </c>
      <c r="K299" s="116"/>
      <c r="L299" s="120"/>
      <c r="M299" s="117"/>
      <c r="N299" s="116"/>
      <c r="O299" s="117"/>
      <c r="P299" s="118"/>
      <c r="Q299" s="117"/>
      <c r="S299" s="40"/>
      <c r="T299" s="116"/>
      <c r="U299" s="117"/>
      <c r="V299" s="116"/>
      <c r="W299" s="116"/>
      <c r="X299" s="117"/>
      <c r="Y299" s="117"/>
      <c r="CU299" s="1" t="s">
        <v>735</v>
      </c>
      <c r="CX299" s="2">
        <f t="shared" si="24"/>
        <v>0</v>
      </c>
    </row>
    <row r="300" spans="2:102" ht="15">
      <c r="B300" s="49" t="s">
        <v>732</v>
      </c>
      <c r="C300" s="14" t="s">
        <v>743</v>
      </c>
      <c r="D300" s="138" t="str">
        <f t="shared" si="25"/>
        <v>k is variable parameter: RO2NO</v>
      </c>
      <c r="E300" s="98"/>
      <c r="F300" s="98"/>
      <c r="G300" s="98"/>
      <c r="H300" s="39" t="s">
        <v>164</v>
      </c>
      <c r="I300" s="49" t="s">
        <v>744</v>
      </c>
      <c r="K300" s="116"/>
      <c r="L300" s="120"/>
      <c r="M300" s="117"/>
      <c r="N300" s="116"/>
      <c r="O300" s="117"/>
      <c r="P300" s="118"/>
      <c r="Q300" s="117"/>
      <c r="S300" s="40"/>
      <c r="T300" s="116"/>
      <c r="U300" s="117"/>
      <c r="V300" s="116"/>
      <c r="W300" s="116"/>
      <c r="X300" s="117"/>
      <c r="Y300" s="117"/>
      <c r="CU300" s="1" t="s">
        <v>743</v>
      </c>
      <c r="CX300" s="2">
        <f t="shared" si="24"/>
        <v>0</v>
      </c>
    </row>
    <row r="301" spans="2:102" ht="15">
      <c r="B301" s="49" t="s">
        <v>734</v>
      </c>
      <c r="C301" s="14" t="s">
        <v>746</v>
      </c>
      <c r="D301" s="138" t="str">
        <f t="shared" si="25"/>
        <v>k is variable parameter: RO22NN</v>
      </c>
      <c r="E301" s="98"/>
      <c r="F301" s="98"/>
      <c r="G301" s="98"/>
      <c r="H301" s="39" t="s">
        <v>164</v>
      </c>
      <c r="I301" s="49" t="s">
        <v>747</v>
      </c>
      <c r="K301" s="116"/>
      <c r="L301" s="120"/>
      <c r="M301" s="117"/>
      <c r="N301" s="116"/>
      <c r="O301" s="117"/>
      <c r="P301" s="118"/>
      <c r="Q301" s="117"/>
      <c r="S301" s="40"/>
      <c r="T301" s="116"/>
      <c r="U301" s="117"/>
      <c r="V301" s="116"/>
      <c r="W301" s="116"/>
      <c r="X301" s="117"/>
      <c r="Y301" s="117"/>
      <c r="CU301" s="1" t="s">
        <v>746</v>
      </c>
      <c r="CX301" s="2">
        <f t="shared" si="24"/>
        <v>0</v>
      </c>
    </row>
    <row r="302" spans="2:102" ht="15">
      <c r="B302" s="49" t="s">
        <v>736</v>
      </c>
      <c r="C302" s="14" t="s">
        <v>749</v>
      </c>
      <c r="D302" s="138" t="str">
        <f t="shared" si="25"/>
        <v>k is variable parameter: RO2XRO</v>
      </c>
      <c r="E302" s="98"/>
      <c r="F302" s="98"/>
      <c r="G302" s="98"/>
      <c r="H302" s="39" t="s">
        <v>164</v>
      </c>
      <c r="I302" s="49" t="s">
        <v>168</v>
      </c>
      <c r="K302" s="116"/>
      <c r="L302" s="120"/>
      <c r="M302" s="117"/>
      <c r="N302" s="116"/>
      <c r="O302" s="117"/>
      <c r="P302" s="118"/>
      <c r="Q302" s="117"/>
      <c r="S302" s="40"/>
      <c r="T302" s="116"/>
      <c r="U302" s="117"/>
      <c r="V302" s="116"/>
      <c r="W302" s="116"/>
      <c r="X302" s="117"/>
      <c r="Y302" s="117"/>
      <c r="CU302" s="1" t="s">
        <v>749</v>
      </c>
      <c r="CX302" s="2">
        <f t="shared" si="24"/>
        <v>0</v>
      </c>
    </row>
    <row r="303" spans="2:102" ht="15">
      <c r="B303" s="49" t="s">
        <v>737</v>
      </c>
      <c r="C303" s="14" t="s">
        <v>751</v>
      </c>
      <c r="D303" s="138" t="str">
        <f t="shared" si="25"/>
        <v>k is variable parameter: RO2HO2</v>
      </c>
      <c r="E303" s="98"/>
      <c r="F303" s="98"/>
      <c r="G303" s="98"/>
      <c r="H303" s="39" t="s">
        <v>164</v>
      </c>
      <c r="I303" s="49" t="s">
        <v>752</v>
      </c>
      <c r="K303" s="116"/>
      <c r="L303" s="120"/>
      <c r="M303" s="117"/>
      <c r="N303" s="116"/>
      <c r="O303" s="117"/>
      <c r="P303" s="118"/>
      <c r="Q303" s="117"/>
      <c r="S303" s="40"/>
      <c r="T303" s="116"/>
      <c r="U303" s="117"/>
      <c r="V303" s="116"/>
      <c r="W303" s="116"/>
      <c r="X303" s="117"/>
      <c r="Y303" s="117"/>
      <c r="CU303" s="1" t="s">
        <v>751</v>
      </c>
      <c r="CX303" s="2">
        <f t="shared" si="24"/>
        <v>0</v>
      </c>
    </row>
    <row r="304" spans="2:102" ht="15">
      <c r="B304" s="49" t="s">
        <v>738</v>
      </c>
      <c r="C304" s="14" t="s">
        <v>754</v>
      </c>
      <c r="D304" s="138" t="str">
        <f t="shared" si="25"/>
        <v>k is variable parameter: RO2RO2M</v>
      </c>
      <c r="E304" s="98"/>
      <c r="F304" s="98"/>
      <c r="G304" s="98"/>
      <c r="H304" s="39" t="s">
        <v>164</v>
      </c>
      <c r="I304" s="49" t="s">
        <v>755</v>
      </c>
      <c r="K304" s="116"/>
      <c r="L304" s="120"/>
      <c r="M304" s="117"/>
      <c r="N304" s="116"/>
      <c r="O304" s="117"/>
      <c r="P304" s="118"/>
      <c r="Q304" s="117"/>
      <c r="S304" s="40"/>
      <c r="T304" s="116"/>
      <c r="U304" s="117"/>
      <c r="V304" s="116"/>
      <c r="W304" s="116"/>
      <c r="X304" s="117"/>
      <c r="Y304" s="117"/>
      <c r="CU304" s="1" t="s">
        <v>754</v>
      </c>
      <c r="CX304" s="2">
        <f t="shared" si="24"/>
        <v>0</v>
      </c>
    </row>
    <row r="305" spans="2:102" ht="15">
      <c r="B305" s="49" t="s">
        <v>739</v>
      </c>
      <c r="C305" s="14" t="s">
        <v>757</v>
      </c>
      <c r="D305" s="138" t="str">
        <f t="shared" si="25"/>
        <v>k is variable parameter: RO2RO</v>
      </c>
      <c r="E305" s="98"/>
      <c r="F305" s="98"/>
      <c r="G305" s="98"/>
      <c r="H305" s="39" t="s">
        <v>164</v>
      </c>
      <c r="I305" s="49" t="s">
        <v>165</v>
      </c>
      <c r="K305" s="116"/>
      <c r="L305" s="120"/>
      <c r="M305" s="117"/>
      <c r="N305" s="116"/>
      <c r="O305" s="117"/>
      <c r="P305" s="118"/>
      <c r="Q305" s="117"/>
      <c r="S305" s="40"/>
      <c r="T305" s="116"/>
      <c r="U305" s="117"/>
      <c r="V305" s="116"/>
      <c r="W305" s="116"/>
      <c r="X305" s="117"/>
      <c r="Y305" s="117"/>
      <c r="CU305" s="1" t="s">
        <v>757</v>
      </c>
      <c r="CX305" s="2">
        <f t="shared" si="24"/>
        <v>0</v>
      </c>
    </row>
    <row r="306" spans="2:102" ht="15">
      <c r="B306" s="49" t="s">
        <v>740</v>
      </c>
      <c r="C306" s="14" t="s">
        <v>759</v>
      </c>
      <c r="D306" s="138" t="str">
        <f t="shared" si="25"/>
        <v>k is variable parameter: RO2HO2</v>
      </c>
      <c r="E306" s="98"/>
      <c r="F306" s="98"/>
      <c r="G306" s="98"/>
      <c r="H306" s="39" t="s">
        <v>164</v>
      </c>
      <c r="I306" s="49" t="s">
        <v>752</v>
      </c>
      <c r="K306" s="116"/>
      <c r="L306" s="120"/>
      <c r="M306" s="117"/>
      <c r="N306" s="116"/>
      <c r="O306" s="117"/>
      <c r="P306" s="118"/>
      <c r="Q306" s="117"/>
      <c r="S306" s="40"/>
      <c r="T306" s="116"/>
      <c r="U306" s="117"/>
      <c r="V306" s="116"/>
      <c r="W306" s="116"/>
      <c r="X306" s="117"/>
      <c r="Y306" s="117"/>
      <c r="CU306" s="1" t="s">
        <v>759</v>
      </c>
      <c r="CX306" s="2">
        <f t="shared" si="24"/>
        <v>0</v>
      </c>
    </row>
    <row r="307" spans="2:102" ht="15">
      <c r="B307" s="49" t="s">
        <v>741</v>
      </c>
      <c r="C307" s="14" t="s">
        <v>761</v>
      </c>
      <c r="D307" s="138" t="str">
        <f t="shared" si="25"/>
        <v>k is variable parameter: RO2RO2M</v>
      </c>
      <c r="E307" s="98"/>
      <c r="F307" s="98"/>
      <c r="G307" s="98"/>
      <c r="H307" s="39" t="s">
        <v>164</v>
      </c>
      <c r="I307" s="49" t="s">
        <v>755</v>
      </c>
      <c r="K307" s="116"/>
      <c r="L307" s="120"/>
      <c r="M307" s="117"/>
      <c r="N307" s="116"/>
      <c r="O307" s="117"/>
      <c r="P307" s="118"/>
      <c r="Q307" s="117"/>
      <c r="S307" s="40"/>
      <c r="T307" s="116"/>
      <c r="U307" s="117"/>
      <c r="V307" s="116"/>
      <c r="W307" s="116"/>
      <c r="X307" s="117"/>
      <c r="Y307" s="117"/>
      <c r="CU307" s="1" t="s">
        <v>761</v>
      </c>
      <c r="CX307" s="2">
        <f t="shared" si="24"/>
        <v>0</v>
      </c>
    </row>
    <row r="308" spans="2:102" ht="15">
      <c r="B308" s="49" t="s">
        <v>742</v>
      </c>
      <c r="C308" s="14" t="s">
        <v>762</v>
      </c>
      <c r="D308" s="138" t="str">
        <f t="shared" si="25"/>
        <v>k is variable parameter: RO2RO</v>
      </c>
      <c r="E308" s="98"/>
      <c r="F308" s="98"/>
      <c r="G308" s="98"/>
      <c r="H308" s="39" t="s">
        <v>164</v>
      </c>
      <c r="I308" s="49" t="s">
        <v>165</v>
      </c>
      <c r="K308" s="116"/>
      <c r="L308" s="120"/>
      <c r="M308" s="117"/>
      <c r="N308" s="116"/>
      <c r="O308" s="117"/>
      <c r="P308" s="118"/>
      <c r="Q308" s="117"/>
      <c r="S308" s="40"/>
      <c r="T308" s="116"/>
      <c r="U308" s="117"/>
      <c r="V308" s="116"/>
      <c r="W308" s="116"/>
      <c r="X308" s="117"/>
      <c r="Y308" s="117"/>
      <c r="CU308" s="1" t="s">
        <v>762</v>
      </c>
      <c r="CX308" s="2">
        <f t="shared" si="24"/>
        <v>0</v>
      </c>
    </row>
    <row r="309" spans="2:102" ht="15">
      <c r="B309" s="49" t="s">
        <v>745</v>
      </c>
      <c r="C309" s="14" t="s">
        <v>763</v>
      </c>
      <c r="D309" s="138" t="str">
        <f t="shared" si="25"/>
        <v>k is variable parameter: RO2HO2</v>
      </c>
      <c r="E309" s="98"/>
      <c r="F309" s="98"/>
      <c r="G309" s="98"/>
      <c r="H309" s="39" t="s">
        <v>164</v>
      </c>
      <c r="I309" s="49" t="s">
        <v>752</v>
      </c>
      <c r="K309" s="116"/>
      <c r="L309" s="120"/>
      <c r="M309" s="117"/>
      <c r="N309" s="116"/>
      <c r="O309" s="117"/>
      <c r="P309" s="118"/>
      <c r="Q309" s="117"/>
      <c r="S309" s="40"/>
      <c r="T309" s="116"/>
      <c r="U309" s="117"/>
      <c r="V309" s="116"/>
      <c r="W309" s="116"/>
      <c r="X309" s="117"/>
      <c r="Y309" s="117"/>
      <c r="CU309" s="1" t="s">
        <v>763</v>
      </c>
      <c r="CX309" s="2">
        <f t="shared" si="24"/>
        <v>0</v>
      </c>
    </row>
    <row r="310" spans="2:102" ht="15">
      <c r="B310" s="49" t="s">
        <v>748</v>
      </c>
      <c r="C310" s="14" t="s">
        <v>764</v>
      </c>
      <c r="D310" s="138" t="str">
        <f t="shared" si="25"/>
        <v>k is variable parameter: RO2RO2M</v>
      </c>
      <c r="E310" s="98"/>
      <c r="F310" s="98"/>
      <c r="G310" s="98"/>
      <c r="H310" s="39" t="s">
        <v>164</v>
      </c>
      <c r="I310" s="49" t="s">
        <v>755</v>
      </c>
      <c r="K310" s="116"/>
      <c r="L310" s="120"/>
      <c r="M310" s="117"/>
      <c r="N310" s="116"/>
      <c r="O310" s="117"/>
      <c r="P310" s="118"/>
      <c r="Q310" s="117"/>
      <c r="S310" s="40"/>
      <c r="T310" s="116"/>
      <c r="U310" s="117"/>
      <c r="V310" s="116"/>
      <c r="W310" s="116"/>
      <c r="X310" s="117"/>
      <c r="Y310" s="117"/>
      <c r="CU310" s="1" t="s">
        <v>764</v>
      </c>
      <c r="CX310" s="2">
        <f t="shared" si="24"/>
        <v>0</v>
      </c>
    </row>
    <row r="311" spans="2:102" ht="15">
      <c r="B311" s="49" t="s">
        <v>750</v>
      </c>
      <c r="C311" s="14" t="s">
        <v>765</v>
      </c>
      <c r="D311" s="138" t="str">
        <f t="shared" si="25"/>
        <v>k is variable parameter: RO2RO</v>
      </c>
      <c r="E311" s="98"/>
      <c r="F311" s="98"/>
      <c r="G311" s="98"/>
      <c r="H311" s="39" t="s">
        <v>164</v>
      </c>
      <c r="I311" s="49" t="s">
        <v>165</v>
      </c>
      <c r="K311" s="116"/>
      <c r="L311" s="120"/>
      <c r="M311" s="117"/>
      <c r="N311" s="116"/>
      <c r="O311" s="117"/>
      <c r="P311" s="118"/>
      <c r="Q311" s="117"/>
      <c r="S311" s="40"/>
      <c r="T311" s="116"/>
      <c r="U311" s="117"/>
      <c r="V311" s="116"/>
      <c r="W311" s="116"/>
      <c r="X311" s="117"/>
      <c r="Y311" s="117"/>
      <c r="CU311" s="1" t="s">
        <v>765</v>
      </c>
      <c r="CX311" s="2">
        <f t="shared" si="24"/>
        <v>0</v>
      </c>
    </row>
    <row r="312" spans="2:102" ht="15">
      <c r="B312" s="49" t="s">
        <v>753</v>
      </c>
      <c r="C312" s="14" t="s">
        <v>677</v>
      </c>
      <c r="D312" s="138" t="str">
        <f>IF(H312="Q",CONCATENATE("k is variable parameter: ",I312),H312)</f>
        <v>k is variable parameter: RO2RO</v>
      </c>
      <c r="E312" s="98"/>
      <c r="F312" s="98"/>
      <c r="G312" s="98"/>
      <c r="H312" s="39" t="s">
        <v>164</v>
      </c>
      <c r="I312" s="49" t="s">
        <v>165</v>
      </c>
      <c r="K312" s="116"/>
      <c r="L312" s="120"/>
      <c r="M312" s="117"/>
      <c r="N312" s="116"/>
      <c r="O312" s="117"/>
      <c r="P312" s="118"/>
      <c r="Q312" s="117"/>
      <c r="S312" s="40"/>
      <c r="T312" s="116"/>
      <c r="U312" s="117"/>
      <c r="V312" s="116"/>
      <c r="W312" s="116"/>
      <c r="X312" s="117"/>
      <c r="Y312" s="117"/>
      <c r="CU312" s="1" t="s">
        <v>677</v>
      </c>
      <c r="CX312" s="2">
        <f t="shared" si="24"/>
        <v>0</v>
      </c>
    </row>
    <row r="313" spans="2:102" ht="15">
      <c r="B313" s="49" t="s">
        <v>756</v>
      </c>
      <c r="C313" s="14" t="s">
        <v>679</v>
      </c>
      <c r="D313" s="138" t="str">
        <f>IF(H313="Q",CONCATENATE("k is variable parameter: ",I313),H313)</f>
        <v>k is variable parameter: RO2XRO</v>
      </c>
      <c r="E313" s="98"/>
      <c r="F313" s="98"/>
      <c r="G313" s="98"/>
      <c r="H313" s="39" t="s">
        <v>164</v>
      </c>
      <c r="I313" s="49" t="s">
        <v>168</v>
      </c>
      <c r="K313" s="116"/>
      <c r="L313" s="120"/>
      <c r="M313" s="117"/>
      <c r="N313" s="116"/>
      <c r="O313" s="117"/>
      <c r="P313" s="118"/>
      <c r="Q313" s="117"/>
      <c r="S313" s="40"/>
      <c r="T313" s="116"/>
      <c r="U313" s="117"/>
      <c r="V313" s="116"/>
      <c r="W313" s="116"/>
      <c r="X313" s="117"/>
      <c r="Y313" s="117"/>
      <c r="CU313" s="1" t="s">
        <v>679</v>
      </c>
      <c r="CX313" s="2">
        <f t="shared" si="24"/>
        <v>0</v>
      </c>
    </row>
    <row r="314" spans="2:102" ht="15">
      <c r="B314" s="49" t="s">
        <v>758</v>
      </c>
      <c r="C314" s="14" t="s">
        <v>1568</v>
      </c>
      <c r="D314" s="138" t="str">
        <f>IF(H314="Q",CONCATENATE("k is variable parameter: ",I314),H314)</f>
        <v>k is variable parameter: RO2RO</v>
      </c>
      <c r="E314" s="98"/>
      <c r="F314" s="98"/>
      <c r="G314" s="98"/>
      <c r="H314" s="39" t="s">
        <v>164</v>
      </c>
      <c r="I314" s="49" t="s">
        <v>165</v>
      </c>
      <c r="K314" s="116"/>
      <c r="L314" s="120"/>
      <c r="M314" s="117"/>
      <c r="N314" s="116"/>
      <c r="O314" s="117"/>
      <c r="P314" s="118"/>
      <c r="Q314" s="117"/>
      <c r="S314" s="40"/>
      <c r="T314" s="116"/>
      <c r="U314" s="117"/>
      <c r="V314" s="116"/>
      <c r="W314" s="116"/>
      <c r="X314" s="117"/>
      <c r="Y314" s="117"/>
      <c r="CU314" s="1" t="s">
        <v>1568</v>
      </c>
      <c r="CX314" s="2">
        <f t="shared" si="24"/>
        <v>0</v>
      </c>
    </row>
    <row r="315" spans="2:102" ht="15">
      <c r="B315" s="49" t="s">
        <v>760</v>
      </c>
      <c r="C315" s="14" t="s">
        <v>1569</v>
      </c>
      <c r="D315" s="138" t="str">
        <f>IF(H315="Q",CONCATENATE("k is variable parameter: ",I315),H315)</f>
        <v>k is variable parameter: RO2XRO</v>
      </c>
      <c r="E315" s="98"/>
      <c r="F315" s="98"/>
      <c r="G315" s="98"/>
      <c r="H315" s="39" t="s">
        <v>164</v>
      </c>
      <c r="I315" s="49" t="s">
        <v>168</v>
      </c>
      <c r="K315" s="116"/>
      <c r="L315" s="120"/>
      <c r="M315" s="117"/>
      <c r="N315" s="116"/>
      <c r="O315" s="117"/>
      <c r="P315" s="118"/>
      <c r="Q315" s="117"/>
      <c r="S315" s="40"/>
      <c r="T315" s="116"/>
      <c r="U315" s="117"/>
      <c r="V315" s="116"/>
      <c r="W315" s="116"/>
      <c r="X315" s="117"/>
      <c r="Y315" s="117"/>
      <c r="CU315" s="1" t="s">
        <v>1569</v>
      </c>
      <c r="CX315" s="2">
        <f t="shared" si="24"/>
        <v>0</v>
      </c>
    </row>
    <row r="316" spans="1:102" ht="15">
      <c r="A316" s="13" t="s">
        <v>1088</v>
      </c>
      <c r="D316" s="95"/>
      <c r="E316" s="95"/>
      <c r="F316" s="96"/>
      <c r="G316" s="96"/>
      <c r="J316" s="38"/>
      <c r="K316" s="109"/>
      <c r="L316" s="110"/>
      <c r="M316" s="111"/>
      <c r="N316" s="112"/>
      <c r="O316" s="111"/>
      <c r="P316" s="113"/>
      <c r="Q316" s="111"/>
      <c r="S316" s="40">
        <f aca="true" t="shared" si="26" ref="S316:S334">IF(OR(H316="T",H316="C"),T316,IF(H316="F",(V316/(1+(V316/T316)))*Q316^(1/(1+((LOG10(V316/T316)/R316)^2))),IF(H316="S1",T316+V316,IF(H316="S2",T316+(V316/(1+(V316/T317))),""))))</f>
      </c>
      <c r="T316" s="109"/>
      <c r="U316" s="111"/>
      <c r="V316" s="112"/>
      <c r="W316" s="112"/>
      <c r="X316" s="111"/>
      <c r="Y316" s="111"/>
      <c r="CX316" s="2">
        <f t="shared" si="24"/>
        <v>0</v>
      </c>
    </row>
    <row r="317" spans="2:102" ht="15">
      <c r="B317" s="49" t="s">
        <v>1089</v>
      </c>
      <c r="C317" s="14" t="s">
        <v>1627</v>
      </c>
      <c r="D317" s="95">
        <f>IF(OR(H317="T",H317="C"),S317,H317)</f>
        <v>6.616771649345456E-15</v>
      </c>
      <c r="E317" s="95">
        <f>IF(H317="C","",K317)</f>
        <v>1.85E-12</v>
      </c>
      <c r="F317" s="96">
        <f>IF(H317="C","",U317)</f>
        <v>3.3583680000000005</v>
      </c>
      <c r="G317" s="96">
        <f>IF(M317=0,"",M317)</f>
      </c>
      <c r="H317" s="39" t="s">
        <v>1859</v>
      </c>
      <c r="K317" s="116">
        <v>1.85E-12</v>
      </c>
      <c r="L317" s="120">
        <v>1690</v>
      </c>
      <c r="M317" s="117">
        <v>0</v>
      </c>
      <c r="N317" s="116"/>
      <c r="O317" s="117"/>
      <c r="P317" s="118"/>
      <c r="Q317" s="117"/>
      <c r="S317" s="40">
        <f>IF(OR(H317="T",H317="C"),T317,IF(H317="F",(V317/(1+(V317/T317)))*Q317^(1/(1+((LOG10(V317/T317)/R317)^2))),IF(H317="S1",T317+V317,IF(H317="S2",T317+(V317/(1+(V317/#REF!))),""))))</f>
        <v>6.616771649345456E-15</v>
      </c>
      <c r="T317" s="40">
        <f>K317*EXP(-L317/T$4)*((T$4/300)^M317)</f>
        <v>6.616771649345456E-15</v>
      </c>
      <c r="U317" s="15">
        <f>L317*Rfac</f>
        <v>3.3583680000000005</v>
      </c>
      <c r="V317" s="116"/>
      <c r="W317" s="116"/>
      <c r="X317" s="117"/>
      <c r="Y317" s="117"/>
      <c r="CU317" s="1" t="s">
        <v>1627</v>
      </c>
      <c r="CX317" s="2">
        <f t="shared" si="24"/>
        <v>0</v>
      </c>
    </row>
    <row r="318" spans="2:102" ht="25.5">
      <c r="B318" s="49" t="s">
        <v>1090</v>
      </c>
      <c r="C318" s="14" t="s">
        <v>1628</v>
      </c>
      <c r="D318" s="95">
        <f>S318</f>
        <v>8.149105658476544E-12</v>
      </c>
      <c r="E318" s="103" t="str">
        <f>IF(H318="F","Falloff, F="&amp;TEXT(Q318,"0.00")&amp;", N="&amp;TEXT(R318,"0.00"),H318)</f>
        <v>Falloff, F=0.60, N=1.00</v>
      </c>
      <c r="F318" s="103"/>
      <c r="G318" s="99"/>
      <c r="H318" s="39" t="s">
        <v>1843</v>
      </c>
      <c r="K318" s="116">
        <v>8.8E-12</v>
      </c>
      <c r="L318" s="41">
        <v>0</v>
      </c>
      <c r="M318" s="117">
        <v>-0.85</v>
      </c>
      <c r="N318" s="116">
        <v>1E-28</v>
      </c>
      <c r="O318" s="117">
        <v>0</v>
      </c>
      <c r="P318" s="118">
        <v>-4.5</v>
      </c>
      <c r="Q318" s="117">
        <v>0.6</v>
      </c>
      <c r="R318" s="41">
        <v>1</v>
      </c>
      <c r="S318" s="40">
        <f t="shared" si="26"/>
        <v>8.149105658476544E-12</v>
      </c>
      <c r="T318" s="40">
        <f>K318*EXP(-L318/T$4)*((T$4/300)^M318)</f>
        <v>8.8E-12</v>
      </c>
      <c r="U318" s="15">
        <f>L318*Rfac</f>
        <v>0</v>
      </c>
      <c r="V318" s="40">
        <f>W318*V$3*7.3395E+21/T$4</f>
        <v>2.4464999999999998E-09</v>
      </c>
      <c r="W318" s="40">
        <f>N318*EXP(-O318/T$4)*(T$4/300)^P318</f>
        <v>1E-28</v>
      </c>
      <c r="X318" s="15">
        <f>O318*Rfac</f>
        <v>0</v>
      </c>
      <c r="Y318" s="15"/>
      <c r="CU318" s="1" t="s">
        <v>1628</v>
      </c>
      <c r="CX318" s="2">
        <f t="shared" si="24"/>
        <v>0</v>
      </c>
    </row>
    <row r="319" spans="2:102" ht="15">
      <c r="B319" s="49" t="s">
        <v>1861</v>
      </c>
      <c r="D319" s="137" t="str">
        <f>IF(H318="F","0: ",H318)</f>
        <v>0: </v>
      </c>
      <c r="E319" s="95">
        <f>N318</f>
        <v>1E-28</v>
      </c>
      <c r="F319" s="96">
        <f>X318</f>
        <v>0</v>
      </c>
      <c r="G319" s="96">
        <f>P318</f>
        <v>-4.5</v>
      </c>
      <c r="K319" s="116"/>
      <c r="M319" s="117"/>
      <c r="N319" s="116"/>
      <c r="O319" s="117"/>
      <c r="P319" s="118"/>
      <c r="Q319" s="117"/>
      <c r="S319" s="40">
        <f t="shared" si="26"/>
      </c>
      <c r="U319" s="117"/>
      <c r="V319" s="116"/>
      <c r="W319" s="116"/>
      <c r="X319" s="117"/>
      <c r="Y319" s="117"/>
      <c r="CX319" s="2">
        <f t="shared" si="24"/>
        <v>0</v>
      </c>
    </row>
    <row r="320" spans="2:102" ht="15">
      <c r="B320" s="49" t="s">
        <v>1861</v>
      </c>
      <c r="D320" s="137" t="str">
        <f>IF(H318="F","inf: ",H318)</f>
        <v>inf: </v>
      </c>
      <c r="E320" s="95">
        <f>K318</f>
        <v>8.8E-12</v>
      </c>
      <c r="F320" s="96">
        <f>U318</f>
        <v>0</v>
      </c>
      <c r="G320" s="96">
        <f>M318</f>
        <v>-0.85</v>
      </c>
      <c r="K320" s="116"/>
      <c r="M320" s="117"/>
      <c r="N320" s="116"/>
      <c r="O320" s="117"/>
      <c r="P320" s="118"/>
      <c r="Q320" s="117"/>
      <c r="S320" s="40">
        <f t="shared" si="26"/>
      </c>
      <c r="U320" s="117"/>
      <c r="V320" s="116"/>
      <c r="W320" s="116"/>
      <c r="X320" s="117"/>
      <c r="Y320" s="117"/>
      <c r="CX320" s="2">
        <f t="shared" si="24"/>
        <v>0</v>
      </c>
    </row>
    <row r="321" spans="2:102" ht="25.5">
      <c r="B321" s="49" t="s">
        <v>1091</v>
      </c>
      <c r="C321" s="14" t="s">
        <v>1629</v>
      </c>
      <c r="D321" s="95">
        <f aca="true" t="shared" si="27" ref="D321:D339">IF(OR(H321="T",H321="C"),S321,H321)</f>
        <v>1.682659212854232E-18</v>
      </c>
      <c r="E321" s="95">
        <f aca="true" t="shared" si="28" ref="E321:E339">IF(H321="C","",K321)</f>
        <v>9.14E-15</v>
      </c>
      <c r="F321" s="96">
        <f aca="true" t="shared" si="29" ref="F321:F339">IF(H321="C","",U321)</f>
        <v>5.127</v>
      </c>
      <c r="G321" s="96">
        <f aca="true" t="shared" si="30" ref="G321:G327">IF(M321=0,"",M321)</f>
      </c>
      <c r="H321" s="39" t="s">
        <v>1859</v>
      </c>
      <c r="K321" s="116">
        <v>9.14E-15</v>
      </c>
      <c r="L321" s="41">
        <v>2580.0120772946857</v>
      </c>
      <c r="M321" s="117">
        <v>0</v>
      </c>
      <c r="N321" s="116"/>
      <c r="O321" s="117"/>
      <c r="P321" s="118"/>
      <c r="Q321" s="117"/>
      <c r="S321" s="40">
        <f t="shared" si="26"/>
        <v>1.682659212854232E-18</v>
      </c>
      <c r="T321" s="40">
        <f aca="true" t="shared" si="31" ref="T321:T331">K321*EXP(-L321/T$4)*((T$4/300)^M321)</f>
        <v>1.682659212854232E-18</v>
      </c>
      <c r="U321" s="15">
        <f aca="true" t="shared" si="32" ref="U321:U331">L321*Rfac</f>
        <v>5.127</v>
      </c>
      <c r="V321" s="116"/>
      <c r="W321" s="116"/>
      <c r="X321" s="117"/>
      <c r="Y321" s="117"/>
      <c r="CU321" s="1" t="s">
        <v>1629</v>
      </c>
      <c r="CX321" s="2">
        <f t="shared" si="24"/>
        <v>0</v>
      </c>
    </row>
    <row r="322" spans="2:102" ht="25.5">
      <c r="B322" s="49" t="s">
        <v>1092</v>
      </c>
      <c r="C322" s="14" t="s">
        <v>1630</v>
      </c>
      <c r="D322" s="95">
        <f t="shared" si="27"/>
        <v>2.2350483041981787E-16</v>
      </c>
      <c r="E322" s="95">
        <f t="shared" si="28"/>
        <v>3.3E-12</v>
      </c>
      <c r="F322" s="96">
        <f t="shared" si="29"/>
        <v>5.723136</v>
      </c>
      <c r="G322" s="96">
        <f t="shared" si="30"/>
        <v>2</v>
      </c>
      <c r="H322" s="39" t="s">
        <v>1859</v>
      </c>
      <c r="K322" s="116">
        <v>3.3E-12</v>
      </c>
      <c r="L322" s="41">
        <v>2880</v>
      </c>
      <c r="M322" s="117">
        <v>2</v>
      </c>
      <c r="N322" s="116"/>
      <c r="O322" s="117"/>
      <c r="P322" s="118"/>
      <c r="Q322" s="117"/>
      <c r="S322" s="40">
        <f t="shared" si="26"/>
        <v>2.2350483041981787E-16</v>
      </c>
      <c r="T322" s="40">
        <f t="shared" si="31"/>
        <v>2.2350483041981787E-16</v>
      </c>
      <c r="U322" s="15">
        <f t="shared" si="32"/>
        <v>5.723136</v>
      </c>
      <c r="V322" s="116"/>
      <c r="W322" s="116"/>
      <c r="X322" s="117"/>
      <c r="Y322" s="117"/>
      <c r="CU322" s="1" t="s">
        <v>1630</v>
      </c>
      <c r="CX322" s="2">
        <f t="shared" si="24"/>
        <v>0</v>
      </c>
    </row>
    <row r="323" spans="2:102" ht="51">
      <c r="B323" s="49" t="s">
        <v>1093</v>
      </c>
      <c r="C323" s="14" t="s">
        <v>1631</v>
      </c>
      <c r="D323" s="95">
        <f t="shared" si="27"/>
        <v>7.434729280839764E-13</v>
      </c>
      <c r="E323" s="95">
        <f t="shared" si="28"/>
        <v>1.07E-11</v>
      </c>
      <c r="F323" s="96">
        <f t="shared" si="29"/>
        <v>1.58976</v>
      </c>
      <c r="G323" s="96">
        <f t="shared" si="30"/>
      </c>
      <c r="H323" s="39" t="s">
        <v>1859</v>
      </c>
      <c r="K323" s="116">
        <v>1.07E-11</v>
      </c>
      <c r="L323" s="41">
        <v>800</v>
      </c>
      <c r="M323" s="117">
        <v>0</v>
      </c>
      <c r="N323" s="116"/>
      <c r="O323" s="117"/>
      <c r="P323" s="118"/>
      <c r="Q323" s="117"/>
      <c r="S323" s="40">
        <f>IF(OR(H323="T",H323="C"),T323,IF(H323="F",(V323/(1+(V323/T323)))*Q323^(1/(1+((LOG10(V323/T323)/R323)^2))),IF(H323="S1",T323+V323,IF(H323="S2",T323+(V323/(1+(V323/#REF!))),""))))</f>
        <v>7.434729280839764E-13</v>
      </c>
      <c r="T323" s="40">
        <f t="shared" si="31"/>
        <v>7.434729280839764E-13</v>
      </c>
      <c r="U323" s="15">
        <f t="shared" si="32"/>
        <v>1.58976</v>
      </c>
      <c r="V323" s="116"/>
      <c r="W323" s="116"/>
      <c r="X323" s="117"/>
      <c r="Y323" s="117"/>
      <c r="CU323" s="1" t="s">
        <v>1631</v>
      </c>
      <c r="CX323" s="2">
        <f t="shared" si="24"/>
        <v>0</v>
      </c>
    </row>
    <row r="324" spans="2:102" ht="51">
      <c r="B324" s="49" t="s">
        <v>581</v>
      </c>
      <c r="C324" s="14" t="s">
        <v>1095</v>
      </c>
      <c r="D324" s="95">
        <f t="shared" si="27"/>
        <v>2.6022946459941574E-11</v>
      </c>
      <c r="E324" s="95">
        <f t="shared" si="28"/>
        <v>4.85E-12</v>
      </c>
      <c r="F324" s="96">
        <f t="shared" si="29"/>
        <v>-1.0015488000000001</v>
      </c>
      <c r="G324" s="96">
        <f t="shared" si="30"/>
      </c>
      <c r="H324" s="39" t="s">
        <v>1859</v>
      </c>
      <c r="K324" s="116">
        <v>4.85E-12</v>
      </c>
      <c r="L324" s="41">
        <v>-504</v>
      </c>
      <c r="M324" s="117"/>
      <c r="N324" s="116"/>
      <c r="O324" s="117"/>
      <c r="P324" s="118"/>
      <c r="Q324" s="117"/>
      <c r="S324" s="40">
        <f>IF(OR(H324="T",H324="C"),T324,IF(H324="F",(V324/(1+(V324/T324)))*Q324^(1/(1+((LOG10(V324/T324)/R324)^2))),IF(H324="S1",T324+V324,IF(H324="S2",T324+(V324/(1+(V324/T325))),""))))</f>
        <v>2.6022946459941574E-11</v>
      </c>
      <c r="T324" s="40">
        <f t="shared" si="31"/>
        <v>2.6022946459941574E-11</v>
      </c>
      <c r="U324" s="15">
        <f t="shared" si="32"/>
        <v>-1.0015488000000001</v>
      </c>
      <c r="V324" s="116"/>
      <c r="W324" s="116"/>
      <c r="X324" s="117"/>
      <c r="Y324" s="117"/>
      <c r="CU324" s="1" t="s">
        <v>1095</v>
      </c>
      <c r="CX324" s="2">
        <f t="shared" si="24"/>
        <v>0</v>
      </c>
    </row>
    <row r="325" spans="2:102" ht="51">
      <c r="B325" s="49" t="s">
        <v>582</v>
      </c>
      <c r="C325" s="14" t="s">
        <v>1097</v>
      </c>
      <c r="D325" s="95">
        <f t="shared" si="27"/>
        <v>1.0530964339445833E-17</v>
      </c>
      <c r="E325" s="95">
        <f t="shared" si="28"/>
        <v>5.51E-15</v>
      </c>
      <c r="F325" s="96">
        <f t="shared" si="29"/>
        <v>3.7319616000000004</v>
      </c>
      <c r="G325" s="96">
        <f t="shared" si="30"/>
      </c>
      <c r="H325" s="39" t="s">
        <v>1859</v>
      </c>
      <c r="K325" s="116">
        <v>5.51E-15</v>
      </c>
      <c r="L325" s="41">
        <v>1878</v>
      </c>
      <c r="M325" s="117"/>
      <c r="N325" s="116"/>
      <c r="O325" s="117"/>
      <c r="P325" s="118"/>
      <c r="Q325" s="117"/>
      <c r="S325" s="40">
        <f>IF(OR(H325="T",H325="C"),T325,IF(H325="F",(V325/(1+(V325/T325)))*Q325^(1/(1+((LOG10(V325/T325)/R325)^2))),IF(H325="S1",T325+V325,IF(H325="S2",T325+(V325/(1+(V325/T326))),""))))</f>
        <v>1.0530964339445833E-17</v>
      </c>
      <c r="T325" s="40">
        <f t="shared" si="31"/>
        <v>1.0530964339445833E-17</v>
      </c>
      <c r="U325" s="15">
        <f t="shared" si="32"/>
        <v>3.7319616000000004</v>
      </c>
      <c r="V325" s="116"/>
      <c r="W325" s="116"/>
      <c r="X325" s="117"/>
      <c r="Y325" s="117"/>
      <c r="CU325" s="1" t="s">
        <v>1097</v>
      </c>
      <c r="CX325" s="2">
        <f t="shared" si="24"/>
        <v>0</v>
      </c>
    </row>
    <row r="326" spans="2:102" ht="38.25">
      <c r="B326" s="49" t="s">
        <v>583</v>
      </c>
      <c r="C326" s="14" t="s">
        <v>1099</v>
      </c>
      <c r="D326" s="95">
        <f t="shared" si="27"/>
        <v>9.734895231549943E-15</v>
      </c>
      <c r="E326" s="95">
        <f t="shared" si="28"/>
        <v>4.59E-13</v>
      </c>
      <c r="F326" s="96">
        <f t="shared" si="29"/>
        <v>2.2972032000000002</v>
      </c>
      <c r="G326" s="96">
        <f t="shared" si="30"/>
      </c>
      <c r="H326" s="39" t="s">
        <v>1859</v>
      </c>
      <c r="K326" s="116">
        <v>4.59E-13</v>
      </c>
      <c r="L326" s="41">
        <v>1156</v>
      </c>
      <c r="M326" s="117"/>
      <c r="N326" s="116"/>
      <c r="O326" s="117"/>
      <c r="P326" s="118"/>
      <c r="Q326" s="117"/>
      <c r="S326" s="40">
        <f>IF(OR(H326="T",H326="C"),T326,IF(H326="F",(V326/(1+(V326/T326)))*Q326^(1/(1+((LOG10(V326/T326)/R326)^2))),IF(H326="S1",T326+V326,IF(H326="S2",T326+(V326/(1+(V326/T327))),""))))</f>
        <v>9.734895231549943E-15</v>
      </c>
      <c r="T326" s="40">
        <f t="shared" si="31"/>
        <v>9.734895231549943E-15</v>
      </c>
      <c r="U326" s="15">
        <f t="shared" si="32"/>
        <v>2.2972032000000002</v>
      </c>
      <c r="V326" s="116"/>
      <c r="W326" s="116"/>
      <c r="X326" s="117"/>
      <c r="Y326" s="117"/>
      <c r="CU326" s="1" t="s">
        <v>1099</v>
      </c>
      <c r="CX326" s="2">
        <f t="shared" si="24"/>
        <v>0</v>
      </c>
    </row>
    <row r="327" spans="2:102" ht="25.5">
      <c r="B327" s="49" t="s">
        <v>584</v>
      </c>
      <c r="C327" s="14" t="s">
        <v>1101</v>
      </c>
      <c r="D327" s="95">
        <f t="shared" si="27"/>
        <v>4.011055352859702E-12</v>
      </c>
      <c r="E327" s="95">
        <f t="shared" si="28"/>
        <v>1.02E-11</v>
      </c>
      <c r="F327" s="96">
        <f t="shared" si="29"/>
        <v>0.556416</v>
      </c>
      <c r="G327" s="96">
        <f t="shared" si="30"/>
      </c>
      <c r="H327" s="39" t="s">
        <v>1859</v>
      </c>
      <c r="K327" s="116">
        <v>1.02E-11</v>
      </c>
      <c r="L327" s="41">
        <v>280</v>
      </c>
      <c r="M327" s="117"/>
      <c r="N327" s="116"/>
      <c r="O327" s="117"/>
      <c r="P327" s="118"/>
      <c r="Q327" s="117"/>
      <c r="S327" s="40">
        <f>IF(OR(H327="T",H327="C"),T327,IF(H327="F",(V327/(1+(V327/T327)))*Q327^(1/(1+((LOG10(V327/T327)/R327)^2))),IF(H327="S1",T327+V327,IF(H327="S2",T327+(V327/(1+(V327/#REF!))),""))))</f>
        <v>4.011055352859702E-12</v>
      </c>
      <c r="T327" s="40">
        <f t="shared" si="31"/>
        <v>4.011055352859702E-12</v>
      </c>
      <c r="U327" s="15">
        <f t="shared" si="32"/>
        <v>0.556416</v>
      </c>
      <c r="V327" s="116"/>
      <c r="W327" s="116"/>
      <c r="X327" s="117"/>
      <c r="Y327" s="117"/>
      <c r="CU327" s="1" t="s">
        <v>1101</v>
      </c>
      <c r="CX327" s="2">
        <f aca="true" t="shared" si="33" ref="CX327:CX390">IF(CU327=C327,0,1)</f>
        <v>0</v>
      </c>
    </row>
    <row r="328" spans="2:102" ht="51">
      <c r="B328" s="49" t="s">
        <v>585</v>
      </c>
      <c r="C328" s="14" t="s">
        <v>1632</v>
      </c>
      <c r="D328" s="95">
        <f t="shared" si="27"/>
        <v>6.588827562708119E-11</v>
      </c>
      <c r="E328" s="95">
        <f t="shared" si="28"/>
        <v>1.48E-11</v>
      </c>
      <c r="F328" s="96">
        <f t="shared" si="29"/>
        <v>-0.8902656000000001</v>
      </c>
      <c r="G328" s="96"/>
      <c r="H328" s="39" t="s">
        <v>1859</v>
      </c>
      <c r="K328" s="116">
        <v>1.48E-11</v>
      </c>
      <c r="L328" s="41">
        <v>-448</v>
      </c>
      <c r="M328" s="117"/>
      <c r="N328" s="116"/>
      <c r="O328" s="117"/>
      <c r="P328" s="118"/>
      <c r="Q328" s="117"/>
      <c r="S328" s="40">
        <f>IF(OR(H328="T",H328="C"),T328,IF(H328="F",(V328/(1+(V328/T328)))*Q328^(1/(1+((LOG10(V328/T328)/R328)^2))),IF(H328="S1",T328+V328,IF(H328="S2",T328+(V328/(1+(V328/T329))),""))))</f>
        <v>6.588827562708119E-11</v>
      </c>
      <c r="T328" s="40">
        <f t="shared" si="31"/>
        <v>6.588827562708119E-11</v>
      </c>
      <c r="U328" s="15">
        <f t="shared" si="32"/>
        <v>-0.8902656000000001</v>
      </c>
      <c r="V328" s="116"/>
      <c r="W328" s="116"/>
      <c r="X328" s="117"/>
      <c r="Y328" s="117"/>
      <c r="CU328" s="1" t="s">
        <v>1632</v>
      </c>
      <c r="CX328" s="2">
        <f t="shared" si="33"/>
        <v>0</v>
      </c>
    </row>
    <row r="329" spans="2:102" ht="51">
      <c r="B329" s="49" t="s">
        <v>586</v>
      </c>
      <c r="C329" s="14" t="s">
        <v>1633</v>
      </c>
      <c r="D329" s="95">
        <f t="shared" si="27"/>
        <v>6.639322903597285E-18</v>
      </c>
      <c r="E329" s="95">
        <f t="shared" si="28"/>
        <v>1.34E-14</v>
      </c>
      <c r="F329" s="96">
        <f t="shared" si="29"/>
        <v>4.536777600000001</v>
      </c>
      <c r="G329" s="96"/>
      <c r="H329" s="39" t="s">
        <v>1859</v>
      </c>
      <c r="K329" s="116">
        <v>1.34E-14</v>
      </c>
      <c r="L329" s="41">
        <v>2283</v>
      </c>
      <c r="M329" s="117"/>
      <c r="N329" s="116"/>
      <c r="O329" s="117"/>
      <c r="P329" s="118"/>
      <c r="Q329" s="117"/>
      <c r="S329" s="40">
        <f>IF(OR(H329="T",H329="C"),T329,IF(H329="F",(V329/(1+(V329/T329)))*Q329^(1/(1+((LOG10(V329/T329)/R329)^2))),IF(H329="S1",T329+V329,IF(H329="S2",T329+(V329/(1+(V329/T330))),""))))</f>
        <v>6.639322903597285E-18</v>
      </c>
      <c r="T329" s="40">
        <f t="shared" si="31"/>
        <v>6.639322903597285E-18</v>
      </c>
      <c r="U329" s="15">
        <f t="shared" si="32"/>
        <v>4.536777600000001</v>
      </c>
      <c r="V329" s="116"/>
      <c r="W329" s="116"/>
      <c r="X329" s="117"/>
      <c r="Y329" s="117"/>
      <c r="CU329" s="1" t="s">
        <v>1633</v>
      </c>
      <c r="CX329" s="2">
        <f t="shared" si="33"/>
        <v>0</v>
      </c>
    </row>
    <row r="330" spans="2:102" ht="63.75">
      <c r="B330" s="49" t="s">
        <v>587</v>
      </c>
      <c r="C330" s="14" t="s">
        <v>1105</v>
      </c>
      <c r="D330" s="95">
        <f t="shared" si="27"/>
        <v>1E-13</v>
      </c>
      <c r="E330" s="95">
        <f t="shared" si="28"/>
      </c>
      <c r="F330" s="96">
        <f t="shared" si="29"/>
      </c>
      <c r="G330" s="96"/>
      <c r="H330" s="39" t="s">
        <v>1851</v>
      </c>
      <c r="K330" s="116">
        <v>1E-13</v>
      </c>
      <c r="M330" s="117"/>
      <c r="N330" s="116"/>
      <c r="O330" s="117"/>
      <c r="P330" s="118"/>
      <c r="Q330" s="117"/>
      <c r="S330" s="40">
        <f>IF(OR(H330="T",H330="C"),T330,IF(H330="F",(V330/(1+(V330/T330)))*Q330^(1/(1+((LOG10(V330/T330)/R330)^2))),IF(H330="S1",T330+V330,IF(H330="S2",T330+(V330/(1+(V330/T331))),""))))</f>
        <v>1E-13</v>
      </c>
      <c r="T330" s="40">
        <f t="shared" si="31"/>
        <v>1E-13</v>
      </c>
      <c r="U330" s="15">
        <f t="shared" si="32"/>
        <v>0</v>
      </c>
      <c r="V330" s="116"/>
      <c r="W330" s="116"/>
      <c r="X330" s="117"/>
      <c r="Y330" s="117"/>
      <c r="CU330" s="1" t="s">
        <v>1105</v>
      </c>
      <c r="CX330" s="2">
        <f t="shared" si="33"/>
        <v>0</v>
      </c>
    </row>
    <row r="331" spans="2:102" ht="63.75">
      <c r="B331" s="49" t="s">
        <v>588</v>
      </c>
      <c r="C331" s="14" t="s">
        <v>1634</v>
      </c>
      <c r="D331" s="95">
        <f t="shared" si="27"/>
        <v>1.9778917010370616E-11</v>
      </c>
      <c r="E331" s="95">
        <f t="shared" si="28"/>
        <v>2.26E-11</v>
      </c>
      <c r="F331" s="96">
        <f t="shared" si="29"/>
        <v>0.079488</v>
      </c>
      <c r="G331" s="96"/>
      <c r="H331" s="39" t="s">
        <v>1859</v>
      </c>
      <c r="K331" s="116">
        <v>2.26E-11</v>
      </c>
      <c r="L331" s="41">
        <v>40</v>
      </c>
      <c r="M331" s="117"/>
      <c r="N331" s="116"/>
      <c r="O331" s="117"/>
      <c r="P331" s="118"/>
      <c r="Q331" s="117"/>
      <c r="S331" s="40">
        <f>IF(OR(H331="T",H331="C"),T331,IF(H331="F",(V331/(1+(V331/T331)))*Q331^(1/(1+((LOG10(V331/T331)/R331)^2))),IF(H331="S1",T331+V331,IF(H331="S2",T331+(V331/(1+(V331/#REF!))),""))))</f>
        <v>1.9778917010370616E-11</v>
      </c>
      <c r="T331" s="40">
        <f t="shared" si="31"/>
        <v>1.9778917010370616E-11</v>
      </c>
      <c r="U331" s="15">
        <f t="shared" si="32"/>
        <v>0.079488</v>
      </c>
      <c r="V331" s="116"/>
      <c r="W331" s="116"/>
      <c r="X331" s="117"/>
      <c r="Y331" s="117"/>
      <c r="CU331" s="1" t="s">
        <v>1634</v>
      </c>
      <c r="CX331" s="2">
        <f t="shared" si="33"/>
        <v>0</v>
      </c>
    </row>
    <row r="332" spans="2:102" ht="51">
      <c r="B332" s="49" t="s">
        <v>1094</v>
      </c>
      <c r="C332" s="14" t="s">
        <v>1635</v>
      </c>
      <c r="D332" s="95">
        <f t="shared" si="27"/>
        <v>9.962526934459915E-11</v>
      </c>
      <c r="E332" s="95">
        <f t="shared" si="28"/>
        <v>2.54E-11</v>
      </c>
      <c r="F332" s="96">
        <f t="shared" si="29"/>
        <v>-0.814752</v>
      </c>
      <c r="G332" s="96">
        <f>IF(M332=0,"",M332)</f>
      </c>
      <c r="H332" s="39" t="s">
        <v>1859</v>
      </c>
      <c r="K332" s="116">
        <v>2.54E-11</v>
      </c>
      <c r="L332" s="41">
        <v>-410</v>
      </c>
      <c r="M332" s="117">
        <v>0</v>
      </c>
      <c r="N332" s="116"/>
      <c r="O332" s="117"/>
      <c r="P332" s="118"/>
      <c r="Q332" s="117"/>
      <c r="S332" s="40">
        <f t="shared" si="26"/>
        <v>9.962526934459915E-11</v>
      </c>
      <c r="T332" s="40">
        <f aca="true" t="shared" si="34" ref="T332:T348">K332*EXP(-L332/T$4)*((T$4/300)^M332)</f>
        <v>9.962526934459915E-11</v>
      </c>
      <c r="U332" s="15">
        <f aca="true" t="shared" si="35" ref="U332:U342">L332*Rfac</f>
        <v>-0.814752</v>
      </c>
      <c r="V332" s="116"/>
      <c r="W332" s="116"/>
      <c r="X332" s="117"/>
      <c r="Y332" s="117"/>
      <c r="CU332" s="1" t="s">
        <v>1635</v>
      </c>
      <c r="CX332" s="2">
        <f t="shared" si="33"/>
        <v>0</v>
      </c>
    </row>
    <row r="333" spans="2:102" ht="89.25">
      <c r="B333" s="49" t="s">
        <v>1096</v>
      </c>
      <c r="C333" s="14" t="s">
        <v>1636</v>
      </c>
      <c r="D333" s="95">
        <f t="shared" si="27"/>
        <v>1.3402136499166233E-17</v>
      </c>
      <c r="E333" s="95">
        <f t="shared" si="28"/>
        <v>7.86E-15</v>
      </c>
      <c r="F333" s="96">
        <f t="shared" si="29"/>
        <v>3.8</v>
      </c>
      <c r="G333" s="96">
        <f>IF(M333=0,"",M333)</f>
      </c>
      <c r="H333" s="39" t="s">
        <v>1859</v>
      </c>
      <c r="K333" s="116">
        <v>7.86E-15</v>
      </c>
      <c r="L333" s="41">
        <v>1912.2383252818033</v>
      </c>
      <c r="M333" s="117">
        <v>0</v>
      </c>
      <c r="N333" s="116"/>
      <c r="O333" s="117"/>
      <c r="P333" s="118"/>
      <c r="Q333" s="117"/>
      <c r="S333" s="40">
        <f t="shared" si="26"/>
        <v>1.3402136499166233E-17</v>
      </c>
      <c r="T333" s="40">
        <f t="shared" si="34"/>
        <v>1.3402136499166233E-17</v>
      </c>
      <c r="U333" s="15">
        <f t="shared" si="35"/>
        <v>3.8</v>
      </c>
      <c r="V333" s="116"/>
      <c r="W333" s="116"/>
      <c r="X333" s="117"/>
      <c r="Y333" s="117"/>
      <c r="CU333" s="1" t="s">
        <v>1636</v>
      </c>
      <c r="CX333" s="2">
        <f t="shared" si="33"/>
        <v>0</v>
      </c>
    </row>
    <row r="334" spans="2:102" ht="51">
      <c r="B334" s="49" t="s">
        <v>1098</v>
      </c>
      <c r="C334" s="14" t="s">
        <v>1637</v>
      </c>
      <c r="D334" s="95">
        <f t="shared" si="27"/>
        <v>6.809099620912515E-13</v>
      </c>
      <c r="E334" s="95">
        <f t="shared" si="28"/>
        <v>3.03E-12</v>
      </c>
      <c r="F334" s="96">
        <f t="shared" si="29"/>
        <v>0.89</v>
      </c>
      <c r="G334" s="96">
        <f>IF(M334=0,"",M334)</f>
      </c>
      <c r="H334" s="39" t="s">
        <v>1859</v>
      </c>
      <c r="K334" s="116">
        <v>3.03E-12</v>
      </c>
      <c r="L334" s="41">
        <v>447.86634460547504</v>
      </c>
      <c r="M334" s="117">
        <v>0</v>
      </c>
      <c r="N334" s="116"/>
      <c r="O334" s="117"/>
      <c r="P334" s="118"/>
      <c r="Q334" s="117"/>
      <c r="S334" s="40">
        <f t="shared" si="26"/>
        <v>6.809099620912515E-13</v>
      </c>
      <c r="T334" s="40">
        <f t="shared" si="34"/>
        <v>6.809099620912515E-13</v>
      </c>
      <c r="U334" s="15">
        <f t="shared" si="35"/>
        <v>0.89</v>
      </c>
      <c r="V334" s="116"/>
      <c r="W334" s="116"/>
      <c r="X334" s="117"/>
      <c r="Y334" s="117"/>
      <c r="CU334" s="1" t="s">
        <v>1637</v>
      </c>
      <c r="CX334" s="2">
        <f t="shared" si="33"/>
        <v>0</v>
      </c>
    </row>
    <row r="335" spans="2:102" ht="51">
      <c r="B335" s="49" t="s">
        <v>1100</v>
      </c>
      <c r="C335" s="14" t="s">
        <v>1638</v>
      </c>
      <c r="D335" s="95">
        <f t="shared" si="27"/>
        <v>3.5E-11</v>
      </c>
      <c r="E335" s="95">
        <f t="shared" si="28"/>
      </c>
      <c r="F335" s="96">
        <f t="shared" si="29"/>
      </c>
      <c r="G335" s="96">
        <f>IF(M335=0,"",M335)</f>
      </c>
      <c r="H335" s="39" t="s">
        <v>1851</v>
      </c>
      <c r="K335" s="116">
        <v>3.5E-11</v>
      </c>
      <c r="M335" s="117"/>
      <c r="N335" s="116"/>
      <c r="O335" s="117"/>
      <c r="P335" s="118"/>
      <c r="Q335" s="117"/>
      <c r="S335" s="40">
        <f>IF(OR(H335="T",H335="C"),T335,IF(H335="F",(V335/(1+(V335/T335)))*Q335^(1/(1+((LOG10(V335/T335)/R335)^2))),IF(H335="S1",T335+V335,IF(H335="S2",T335+(V335/(1+(V335/#REF!))),""))))</f>
        <v>3.5E-11</v>
      </c>
      <c r="T335" s="40">
        <f t="shared" si="34"/>
        <v>3.5E-11</v>
      </c>
      <c r="U335" s="15">
        <f t="shared" si="35"/>
        <v>0</v>
      </c>
      <c r="V335" s="116"/>
      <c r="W335" s="116"/>
      <c r="X335" s="117"/>
      <c r="Y335" s="117"/>
      <c r="CU335" s="1" t="s">
        <v>1638</v>
      </c>
      <c r="CX335" s="2">
        <f t="shared" si="33"/>
        <v>0</v>
      </c>
    </row>
    <row r="336" spans="2:102" ht="63.75">
      <c r="B336" s="49" t="s">
        <v>589</v>
      </c>
      <c r="C336" s="14" t="s">
        <v>1106</v>
      </c>
      <c r="D336" s="95">
        <f t="shared" si="27"/>
        <v>5.1755918147035806E-11</v>
      </c>
      <c r="E336" s="95">
        <f t="shared" si="28"/>
        <v>1.21E-11</v>
      </c>
      <c r="F336" s="96">
        <f t="shared" si="29"/>
        <v>-0.8664192000000001</v>
      </c>
      <c r="G336" s="96"/>
      <c r="H336" s="39" t="s">
        <v>1859</v>
      </c>
      <c r="K336" s="116">
        <v>1.21E-11</v>
      </c>
      <c r="L336" s="41">
        <v>-436</v>
      </c>
      <c r="M336" s="117"/>
      <c r="N336" s="116"/>
      <c r="O336" s="117"/>
      <c r="P336" s="118"/>
      <c r="Q336" s="117"/>
      <c r="S336" s="40">
        <f>IF(OR(H336="T",H336="C"),T336,IF(H336="F",(V336/(1+(V336/T336)))*Q336^(1/(1+((LOG10(V336/T336)/R336)^2))),IF(H336="S1",T336+V336,IF(H336="S2",T336+(V336/(1+(V336/T337))),""))))</f>
        <v>5.1755918147035806E-11</v>
      </c>
      <c r="T336" s="40">
        <f>K336*EXP(-L336/T$4)*((T$4/300)^M336)</f>
        <v>5.1755918147035806E-11</v>
      </c>
      <c r="U336" s="15">
        <f>L336*Rfac</f>
        <v>-0.8664192000000001</v>
      </c>
      <c r="V336" s="116"/>
      <c r="W336" s="116"/>
      <c r="X336" s="117"/>
      <c r="Y336" s="117"/>
      <c r="CU336" s="1" t="s">
        <v>1106</v>
      </c>
      <c r="CX336" s="2">
        <f t="shared" si="33"/>
        <v>0</v>
      </c>
    </row>
    <row r="337" spans="2:102" ht="89.25">
      <c r="B337" s="49" t="s">
        <v>590</v>
      </c>
      <c r="C337" s="14" t="s">
        <v>1107</v>
      </c>
      <c r="D337" s="95">
        <f t="shared" si="27"/>
        <v>8.545085640076242E-17</v>
      </c>
      <c r="E337" s="95">
        <f t="shared" si="28"/>
        <v>5E-16</v>
      </c>
      <c r="F337" s="96">
        <f t="shared" si="29"/>
        <v>1.0532160000000002</v>
      </c>
      <c r="G337" s="96"/>
      <c r="H337" s="39" t="s">
        <v>1859</v>
      </c>
      <c r="K337" s="116">
        <v>5E-16</v>
      </c>
      <c r="L337" s="41">
        <v>530</v>
      </c>
      <c r="M337" s="117"/>
      <c r="N337" s="116"/>
      <c r="O337" s="117"/>
      <c r="P337" s="118"/>
      <c r="Q337" s="117"/>
      <c r="S337" s="40">
        <f>IF(OR(H337="T",H337="C"),T337,IF(H337="F",(V337/(1+(V337/T337)))*Q337^(1/(1+((LOG10(V337/T337)/R337)^2))),IF(H337="S1",T337+V337,IF(H337="S2",T337+(V337/(1+(V337/T338))),""))))</f>
        <v>8.545085640076242E-17</v>
      </c>
      <c r="T337" s="40">
        <f>K337*EXP(-L337/T$4)*((T$4/300)^M337)</f>
        <v>8.545085640076242E-17</v>
      </c>
      <c r="U337" s="15">
        <f>L337*Rfac</f>
        <v>1.0532160000000002</v>
      </c>
      <c r="V337" s="116"/>
      <c r="W337" s="116"/>
      <c r="X337" s="117"/>
      <c r="Y337" s="117"/>
      <c r="CU337" s="1" t="s">
        <v>1107</v>
      </c>
      <c r="CX337" s="2">
        <f t="shared" si="33"/>
        <v>0</v>
      </c>
    </row>
    <row r="338" spans="2:102" ht="76.5">
      <c r="B338" s="49" t="s">
        <v>591</v>
      </c>
      <c r="C338" s="14" t="s">
        <v>1108</v>
      </c>
      <c r="D338" s="95">
        <f t="shared" si="27"/>
        <v>6.0938900645811166E-12</v>
      </c>
      <c r="E338" s="95">
        <f t="shared" si="28"/>
        <v>1.19E-12</v>
      </c>
      <c r="F338" s="96">
        <f t="shared" si="29"/>
        <v>-0.973728</v>
      </c>
      <c r="G338" s="96"/>
      <c r="H338" s="39" t="s">
        <v>1859</v>
      </c>
      <c r="K338" s="116">
        <v>1.19E-12</v>
      </c>
      <c r="L338" s="41">
        <v>-490</v>
      </c>
      <c r="M338" s="117"/>
      <c r="N338" s="116"/>
      <c r="O338" s="117"/>
      <c r="P338" s="118"/>
      <c r="Q338" s="117"/>
      <c r="S338" s="40">
        <f>IF(OR(H338="T",H338="C"),T338,IF(H338="F",(V338/(1+(V338/T338)))*Q338^(1/(1+((LOG10(V338/T338)/R338)^2))),IF(H338="S1",T338+V338,IF(H338="S2",T338+(V338/(1+(V338/T339))),""))))</f>
        <v>6.0938900645811166E-12</v>
      </c>
      <c r="T338" s="40">
        <f>K338*EXP(-L338/T$4)*((T$4/300)^M338)</f>
        <v>6.0938900645811166E-12</v>
      </c>
      <c r="U338" s="15">
        <f>L338*Rfac</f>
        <v>-0.973728</v>
      </c>
      <c r="V338" s="116"/>
      <c r="W338" s="116"/>
      <c r="X338" s="117"/>
      <c r="Y338" s="117"/>
      <c r="CU338" s="1" t="s">
        <v>1108</v>
      </c>
      <c r="CX338" s="2">
        <f t="shared" si="33"/>
        <v>0</v>
      </c>
    </row>
    <row r="339" spans="2:102" ht="15">
      <c r="B339" s="49" t="s">
        <v>592</v>
      </c>
      <c r="C339" s="14" t="s">
        <v>1109</v>
      </c>
      <c r="D339" s="95">
        <f t="shared" si="27"/>
        <v>3.2E-11</v>
      </c>
      <c r="E339" s="95">
        <f t="shared" si="28"/>
      </c>
      <c r="F339" s="96">
        <f t="shared" si="29"/>
      </c>
      <c r="G339" s="96"/>
      <c r="H339" s="39" t="s">
        <v>1851</v>
      </c>
      <c r="K339" s="116">
        <v>3.2E-11</v>
      </c>
      <c r="M339" s="117"/>
      <c r="N339" s="116"/>
      <c r="O339" s="117"/>
      <c r="P339" s="118"/>
      <c r="Q339" s="117"/>
      <c r="S339" s="40">
        <f>IF(OR(H339="T",H339="C"),T339,IF(H339="F",(V339/(1+(V339/T339)))*Q339^(1/(1+((LOG10(V339/T339)/R339)^2))),IF(H339="S1",T339+V339,IF(H339="S2",T339+(V339/(1+(V339/#REF!))),""))))</f>
        <v>3.2E-11</v>
      </c>
      <c r="T339" s="40">
        <f>K339*EXP(-L339/T$4)*((T$4/300)^M339)</f>
        <v>3.2E-11</v>
      </c>
      <c r="U339" s="15">
        <f>L339*Rfac</f>
        <v>0</v>
      </c>
      <c r="V339" s="116"/>
      <c r="W339" s="116"/>
      <c r="X339" s="117"/>
      <c r="Y339" s="117"/>
      <c r="CU339" s="1" t="s">
        <v>1109</v>
      </c>
      <c r="CX339" s="2">
        <f t="shared" si="33"/>
        <v>0</v>
      </c>
    </row>
    <row r="340" spans="2:102" ht="25.5">
      <c r="B340" s="49" t="s">
        <v>1102</v>
      </c>
      <c r="C340" s="14" t="s">
        <v>1639</v>
      </c>
      <c r="D340" s="95">
        <f>S340</f>
        <v>7.563094435953232E-13</v>
      </c>
      <c r="E340" s="95" t="str">
        <f>IF(H340="F","Falloff, F="&amp;TEXT(Q340,"0.00")&amp;", N="&amp;TEXT(R340,"0.00"),H340)</f>
        <v>Falloff, F=0.60, N=1.00</v>
      </c>
      <c r="F340" s="96"/>
      <c r="G340" s="96"/>
      <c r="H340" s="39" t="s">
        <v>1843</v>
      </c>
      <c r="K340" s="116">
        <v>8.3E-13</v>
      </c>
      <c r="M340" s="117"/>
      <c r="N340" s="116">
        <v>5.5E-30</v>
      </c>
      <c r="O340" s="117"/>
      <c r="P340" s="118">
        <v>-2</v>
      </c>
      <c r="Q340" s="117">
        <v>0.6</v>
      </c>
      <c r="R340" s="3">
        <v>1</v>
      </c>
      <c r="S340" s="40">
        <f>IF(OR(H340="T",H340="C"),T340,IF(H340="F",(V340/(1+(V340/T340)))*Q340^(1/(1+((LOG10(V340/T340)/R340)^2))),IF(H340="S1",T340+V340,IF(H340="S2",T340+(V340/(1+(V340/T341))),""))))</f>
        <v>7.563094435953232E-13</v>
      </c>
      <c r="T340" s="40">
        <f t="shared" si="34"/>
        <v>8.3E-13</v>
      </c>
      <c r="U340" s="15">
        <f t="shared" si="35"/>
        <v>0</v>
      </c>
      <c r="V340" s="116">
        <f>W340*V$3*7.3395E+21/T$4</f>
        <v>1.345575E-10</v>
      </c>
      <c r="W340" s="116">
        <f>N340*EXP(-O340/T$4)*(T$4/300)^P340</f>
        <v>5.5E-30</v>
      </c>
      <c r="X340" s="117">
        <f>O340*Rfac</f>
        <v>0</v>
      </c>
      <c r="Y340" s="117"/>
      <c r="CU340" s="1" t="s">
        <v>1639</v>
      </c>
      <c r="CX340" s="2">
        <f t="shared" si="33"/>
        <v>0</v>
      </c>
    </row>
    <row r="341" spans="2:102" ht="25.5">
      <c r="B341" s="49" t="s">
        <v>1103</v>
      </c>
      <c r="C341" s="14" t="s">
        <v>1640</v>
      </c>
      <c r="D341" s="95">
        <f>IF(OR(H341="T",H341="C"),S341,H341)</f>
        <v>1.1604918121968607E-20</v>
      </c>
      <c r="E341" s="95">
        <f>IF(H341="C","",K341)</f>
        <v>1E-14</v>
      </c>
      <c r="F341" s="96">
        <f>IF(H341="C","",U341)</f>
        <v>8.14752</v>
      </c>
      <c r="G341" s="96"/>
      <c r="H341" s="39" t="s">
        <v>1859</v>
      </c>
      <c r="K341" s="116">
        <v>1E-14</v>
      </c>
      <c r="L341" s="41">
        <v>4100</v>
      </c>
      <c r="M341" s="117"/>
      <c r="N341" s="116"/>
      <c r="O341" s="117"/>
      <c r="P341" s="118"/>
      <c r="Q341" s="117"/>
      <c r="S341" s="40">
        <f>IF(OR(H341="T",H341="C"),T341,IF(H341="F",(V341/(1+(V341/T341)))*Q341^(1/(1+((LOG10(V341/T341)/R341)^2))),IF(H341="S1",T341+V341,IF(H341="S2",T341+(V341/(1+(V341/#REF!))),""))))</f>
        <v>1.1604918121968607E-20</v>
      </c>
      <c r="T341" s="40">
        <f t="shared" si="34"/>
        <v>1.1604918121968607E-20</v>
      </c>
      <c r="U341" s="15">
        <f t="shared" si="35"/>
        <v>8.14752</v>
      </c>
      <c r="V341" s="116"/>
      <c r="W341" s="116"/>
      <c r="X341" s="117"/>
      <c r="Y341" s="117"/>
      <c r="CU341" s="1" t="s">
        <v>1640</v>
      </c>
      <c r="CX341" s="2">
        <f t="shared" si="33"/>
        <v>0</v>
      </c>
    </row>
    <row r="342" spans="2:102" ht="63.75">
      <c r="B342" s="49" t="s">
        <v>1104</v>
      </c>
      <c r="C342" s="14" t="s">
        <v>1641</v>
      </c>
      <c r="D342" s="95">
        <f aca="true" t="shared" si="36" ref="D342:D347">IF(OR(H342="T",H342="C"),S342,H342)</f>
        <v>1.2245028614568094E-12</v>
      </c>
      <c r="E342" s="95">
        <f aca="true" t="shared" si="37" ref="E342:E347">IF(H342="C","",K342)</f>
        <v>2.33E-12</v>
      </c>
      <c r="F342" s="96">
        <f aca="true" t="shared" si="38" ref="F342:F347">IF(H342="C","",U342)</f>
        <v>0.3835296</v>
      </c>
      <c r="G342" s="96"/>
      <c r="H342" s="39" t="s">
        <v>1859</v>
      </c>
      <c r="K342" s="116">
        <v>2.33E-12</v>
      </c>
      <c r="L342" s="41">
        <v>193</v>
      </c>
      <c r="M342" s="117"/>
      <c r="N342" s="116"/>
      <c r="O342" s="117"/>
      <c r="P342" s="118"/>
      <c r="Q342" s="117"/>
      <c r="S342" s="40">
        <f>IF(OR(H342="T",H342="C"),T342,IF(H342="F",(V342/(1+(V342/T342)))*Q342^(1/(1+((LOG10(V342/T342)/R342)^2))),IF(H342="S1",T342+V342,IF(H342="S2",T342+(V342/(1+(V342/T316))),""))))</f>
        <v>1.2245028614568094E-12</v>
      </c>
      <c r="T342" s="40">
        <f t="shared" si="34"/>
        <v>1.2245028614568094E-12</v>
      </c>
      <c r="U342" s="15">
        <f t="shared" si="35"/>
        <v>0.3835296</v>
      </c>
      <c r="V342" s="116"/>
      <c r="W342" s="116"/>
      <c r="X342" s="117"/>
      <c r="Y342" s="117"/>
      <c r="CU342" s="1" t="s">
        <v>1641</v>
      </c>
      <c r="CX342" s="2">
        <f t="shared" si="33"/>
        <v>0</v>
      </c>
    </row>
    <row r="343" spans="2:102" ht="76.5">
      <c r="B343" s="49" t="s">
        <v>593</v>
      </c>
      <c r="C343" s="14" t="s">
        <v>1642</v>
      </c>
      <c r="D343" s="95">
        <f t="shared" si="36"/>
        <v>5.584492231662424E-12</v>
      </c>
      <c r="E343" s="95">
        <f t="shared" si="37"/>
        <v>1.81E-12</v>
      </c>
      <c r="F343" s="96">
        <f t="shared" si="38"/>
        <v>-0.6716736000000001</v>
      </c>
      <c r="G343" s="96"/>
      <c r="H343" s="39" t="s">
        <v>1859</v>
      </c>
      <c r="K343" s="116">
        <v>1.81E-12</v>
      </c>
      <c r="L343" s="41">
        <v>-338</v>
      </c>
      <c r="M343" s="117"/>
      <c r="N343" s="116"/>
      <c r="O343" s="117"/>
      <c r="P343" s="118"/>
      <c r="Q343" s="117"/>
      <c r="S343" s="40">
        <f>IF(OR(H343="T",H343="C"),T343,IF(H343="F",(V343/(1+(V343/T343)))*Q343^(1/(1+((LOG10(V343/T343)/R343)^2))),IF(H343="S1",T343+V343,IF(H343="S2",T343+(V343/(1+(V343/T317))),""))))</f>
        <v>5.584492231662424E-12</v>
      </c>
      <c r="T343" s="40">
        <f t="shared" si="34"/>
        <v>5.584492231662424E-12</v>
      </c>
      <c r="U343" s="15">
        <f aca="true" t="shared" si="39" ref="U343:U348">L343*Rfac</f>
        <v>-0.6716736000000001</v>
      </c>
      <c r="V343" s="116"/>
      <c r="W343" s="116"/>
      <c r="X343" s="117"/>
      <c r="Y343" s="117"/>
      <c r="CU343" s="1" t="s">
        <v>1642</v>
      </c>
      <c r="CX343" s="2">
        <f t="shared" si="33"/>
        <v>0</v>
      </c>
    </row>
    <row r="344" spans="2:102" ht="76.5">
      <c r="B344" s="49" t="s">
        <v>594</v>
      </c>
      <c r="C344" s="14" t="s">
        <v>1643</v>
      </c>
      <c r="D344" s="95">
        <f t="shared" si="36"/>
        <v>2.31E-11</v>
      </c>
      <c r="E344" s="95">
        <f t="shared" si="37"/>
      </c>
      <c r="F344" s="96">
        <f t="shared" si="38"/>
      </c>
      <c r="G344" s="96"/>
      <c r="H344" s="39" t="s">
        <v>1851</v>
      </c>
      <c r="K344" s="116">
        <v>2.31E-11</v>
      </c>
      <c r="M344" s="117"/>
      <c r="N344" s="116"/>
      <c r="O344" s="117"/>
      <c r="P344" s="118"/>
      <c r="Q344" s="117"/>
      <c r="S344" s="40">
        <f>IF(OR(H344="T",H344="C"),T344,IF(H344="F",(V344/(1+(V344/T344)))*Q344^(1/(1+((LOG10(V344/T344)/R344)^2))),IF(H344="S1",T344+V344,IF(H344="S2",T344+(V344/(1+(V344/#REF!))),""))))</f>
        <v>2.31E-11</v>
      </c>
      <c r="T344" s="40">
        <f t="shared" si="34"/>
        <v>2.31E-11</v>
      </c>
      <c r="U344" s="15">
        <f t="shared" si="39"/>
        <v>0</v>
      </c>
      <c r="V344" s="116"/>
      <c r="W344" s="116"/>
      <c r="X344" s="117"/>
      <c r="Y344" s="117"/>
      <c r="CU344" s="1" t="s">
        <v>1643</v>
      </c>
      <c r="CX344" s="2">
        <f t="shared" si="33"/>
        <v>0</v>
      </c>
    </row>
    <row r="345" spans="2:102" ht="89.25">
      <c r="B345" s="49" t="s">
        <v>595</v>
      </c>
      <c r="C345" s="14" t="s">
        <v>1016</v>
      </c>
      <c r="D345" s="95">
        <f t="shared" si="36"/>
        <v>1.3599999999999999E-11</v>
      </c>
      <c r="E345" s="95">
        <f t="shared" si="37"/>
      </c>
      <c r="F345" s="96">
        <f t="shared" si="38"/>
      </c>
      <c r="G345" s="96"/>
      <c r="H345" s="39" t="s">
        <v>1851</v>
      </c>
      <c r="K345" s="116">
        <v>1.3599999999999999E-11</v>
      </c>
      <c r="M345" s="117"/>
      <c r="N345" s="116"/>
      <c r="O345" s="117"/>
      <c r="P345" s="118"/>
      <c r="Q345" s="117"/>
      <c r="S345" s="40">
        <f>IF(OR(H345="T",H345="C"),T345,IF(H345="F",(V345/(1+(V345/T345)))*Q345^(1/(1+((LOG10(V345/T345)/R345)^2))),IF(H345="S1",T345+V345,IF(H345="S2",T345+(V345/(1+(V345/T318))),""))))</f>
        <v>1.3599999999999999E-11</v>
      </c>
      <c r="T345" s="40">
        <f t="shared" si="34"/>
        <v>1.3599999999999999E-11</v>
      </c>
      <c r="U345" s="15">
        <f t="shared" si="39"/>
        <v>0</v>
      </c>
      <c r="V345" s="116"/>
      <c r="W345" s="116"/>
      <c r="X345" s="117"/>
      <c r="Y345" s="117"/>
      <c r="CU345" s="1" t="s">
        <v>1016</v>
      </c>
      <c r="CX345" s="2">
        <f t="shared" si="33"/>
        <v>0</v>
      </c>
    </row>
    <row r="346" spans="2:102" ht="89.25">
      <c r="B346" s="49" t="s">
        <v>596</v>
      </c>
      <c r="C346" s="14" t="s">
        <v>1017</v>
      </c>
      <c r="D346" s="95">
        <f t="shared" si="36"/>
        <v>1.43E-11</v>
      </c>
      <c r="E346" s="95">
        <f t="shared" si="37"/>
      </c>
      <c r="F346" s="96">
        <f t="shared" si="38"/>
      </c>
      <c r="G346" s="96"/>
      <c r="H346" s="39" t="s">
        <v>1851</v>
      </c>
      <c r="K346" s="116">
        <v>1.43E-11</v>
      </c>
      <c r="M346" s="117"/>
      <c r="N346" s="116"/>
      <c r="O346" s="117"/>
      <c r="P346" s="118"/>
      <c r="Q346" s="117"/>
      <c r="S346" s="40">
        <f>IF(OR(H346="T",H346="C"),T346,IF(H346="F",(V346/(1+(V346/T346)))*Q346^(1/(1+((LOG10(V346/T346)/R346)^2))),IF(H346="S1",T346+V346,IF(H346="S2",T346+(V346/(1+(V346/T319))),""))))</f>
        <v>1.43E-11</v>
      </c>
      <c r="T346" s="40">
        <f t="shared" si="34"/>
        <v>1.43E-11</v>
      </c>
      <c r="U346" s="15">
        <f t="shared" si="39"/>
        <v>0</v>
      </c>
      <c r="V346" s="116"/>
      <c r="W346" s="116"/>
      <c r="X346" s="117"/>
      <c r="Y346" s="117"/>
      <c r="CU346" s="1" t="s">
        <v>1017</v>
      </c>
      <c r="CX346" s="2">
        <f t="shared" si="33"/>
        <v>0</v>
      </c>
    </row>
    <row r="347" spans="2:102" ht="89.25">
      <c r="B347" s="49" t="s">
        <v>597</v>
      </c>
      <c r="C347" s="14" t="s">
        <v>1018</v>
      </c>
      <c r="D347" s="95">
        <f t="shared" si="36"/>
        <v>3.25E-11</v>
      </c>
      <c r="E347" s="95">
        <f t="shared" si="37"/>
      </c>
      <c r="F347" s="96">
        <f t="shared" si="38"/>
      </c>
      <c r="G347" s="96"/>
      <c r="H347" s="39" t="s">
        <v>1851</v>
      </c>
      <c r="K347" s="116">
        <v>3.25E-11</v>
      </c>
      <c r="M347" s="117"/>
      <c r="N347" s="116"/>
      <c r="O347" s="117"/>
      <c r="P347" s="118"/>
      <c r="Q347" s="117"/>
      <c r="S347" s="40">
        <f>IF(OR(H347="T",H347="C"),T347,IF(H347="F",(V347/(1+(V347/T347)))*Q347^(1/(1+((LOG10(V347/T347)/R347)^2))),IF(H347="S1",T347+V347,IF(H347="S2",T347+(V347/(1+(V347/T320))),""))))</f>
        <v>3.25E-11</v>
      </c>
      <c r="T347" s="40">
        <f t="shared" si="34"/>
        <v>3.25E-11</v>
      </c>
      <c r="U347" s="15">
        <f t="shared" si="39"/>
        <v>0</v>
      </c>
      <c r="V347" s="116"/>
      <c r="W347" s="116"/>
      <c r="X347" s="117"/>
      <c r="Y347" s="117"/>
      <c r="CU347" s="1" t="s">
        <v>1018</v>
      </c>
      <c r="CX347" s="2">
        <f t="shared" si="33"/>
        <v>0</v>
      </c>
    </row>
    <row r="348" spans="2:102" ht="38.25">
      <c r="B348" s="49" t="s">
        <v>598</v>
      </c>
      <c r="C348" s="14" t="s">
        <v>1019</v>
      </c>
      <c r="D348" s="95">
        <f>IF(OR(H348="T",H348="C"),S348,H348)</f>
        <v>3.2123727199713687E-12</v>
      </c>
      <c r="E348" s="95">
        <f>IF(H348="C","",K348)</f>
        <v>5.49E-13</v>
      </c>
      <c r="F348" s="96">
        <f>IF(H348="C","",U348)</f>
        <v>-1.0532160000000002</v>
      </c>
      <c r="G348" s="96"/>
      <c r="H348" s="39" t="s">
        <v>1859</v>
      </c>
      <c r="K348" s="116">
        <v>5.49E-13</v>
      </c>
      <c r="L348" s="41">
        <v>-530</v>
      </c>
      <c r="M348" s="117">
        <v>2</v>
      </c>
      <c r="N348" s="116"/>
      <c r="O348" s="117"/>
      <c r="P348" s="118"/>
      <c r="Q348" s="117"/>
      <c r="S348" s="40">
        <f>IF(OR(H348="T",H348="C"),T348,IF(H348="F",(V348/(1+(V348/T348)))*Q348^(1/(1+((LOG10(V348/T348)/R348)^2))),IF(H348="S1",T348+V348,IF(H348="S2",T348+(V348/(1+(V348/T321))),""))))</f>
        <v>3.2123727199713687E-12</v>
      </c>
      <c r="T348" s="40">
        <f t="shared" si="34"/>
        <v>3.2123727199713687E-12</v>
      </c>
      <c r="U348" s="15">
        <f t="shared" si="39"/>
        <v>-1.0532160000000002</v>
      </c>
      <c r="V348" s="116"/>
      <c r="W348" s="116"/>
      <c r="X348" s="117"/>
      <c r="Y348" s="117"/>
      <c r="CU348" s="1" t="s">
        <v>1019</v>
      </c>
      <c r="CX348" s="2">
        <f t="shared" si="33"/>
        <v>0</v>
      </c>
    </row>
    <row r="349" spans="1:102" ht="15">
      <c r="A349" s="13" t="s">
        <v>1059</v>
      </c>
      <c r="D349" s="95"/>
      <c r="E349" s="95"/>
      <c r="F349" s="96"/>
      <c r="G349" s="96"/>
      <c r="K349" s="116"/>
      <c r="M349" s="117"/>
      <c r="N349" s="116"/>
      <c r="O349" s="117"/>
      <c r="P349" s="118"/>
      <c r="Q349" s="117"/>
      <c r="S349" s="40"/>
      <c r="T349" s="40"/>
      <c r="U349" s="117"/>
      <c r="V349" s="116"/>
      <c r="W349" s="116"/>
      <c r="X349" s="117"/>
      <c r="Y349" s="117"/>
      <c r="CX349" s="2">
        <f t="shared" si="33"/>
        <v>0</v>
      </c>
    </row>
    <row r="350" spans="2:102" ht="25.5">
      <c r="B350" s="49" t="s">
        <v>1364</v>
      </c>
      <c r="C350" s="14" t="s">
        <v>1365</v>
      </c>
      <c r="D350" s="95">
        <f aca="true" t="shared" si="40" ref="D350:D368">IF(OR(H350="T",H350="C"),S350,H350)</f>
        <v>2.53938359799213E-13</v>
      </c>
      <c r="E350" s="95">
        <f aca="true" t="shared" si="41" ref="E350:E368">IF(H350="C","",K350)</f>
        <v>1.339999999999998E-12</v>
      </c>
      <c r="F350" s="96">
        <f aca="true" t="shared" si="42" ref="F350:F368">IF(H350="C","",U350)</f>
        <v>0.9916128000000001</v>
      </c>
      <c r="G350" s="108"/>
      <c r="H350" s="39" t="s">
        <v>1859</v>
      </c>
      <c r="J350" s="42"/>
      <c r="K350" s="132">
        <v>1.339999999999998E-12</v>
      </c>
      <c r="L350" s="133">
        <v>499</v>
      </c>
      <c r="M350" s="134">
        <v>2</v>
      </c>
      <c r="N350" s="132"/>
      <c r="O350" s="134"/>
      <c r="P350" s="135"/>
      <c r="Q350" s="134"/>
      <c r="R350" s="43"/>
      <c r="S350" s="40">
        <f>IF(OR(H350="T",H350="C"),T350,IF(H350="F",(V350/(1+(V350/T350)))*Q350^(1/(1+((LOG10(V350/T350)/R350)^2))),IF(H350="S1",T350+V350,IF(H350="S2",T350+(V350/(1+(V350/T457))),""))))</f>
        <v>2.53938359799213E-13</v>
      </c>
      <c r="T350" s="40">
        <f aca="true" t="shared" si="43" ref="T350:T368">K350*EXP(-L350/T$4)*((T$4/300)^M350)</f>
        <v>2.53938359799213E-13</v>
      </c>
      <c r="U350" s="15">
        <f aca="true" t="shared" si="44" ref="U350:U368">L350*Rfac</f>
        <v>0.9916128000000001</v>
      </c>
      <c r="V350" s="132"/>
      <c r="W350" s="132"/>
      <c r="X350" s="134"/>
      <c r="Y350" s="134"/>
      <c r="CU350" s="1" t="s">
        <v>1365</v>
      </c>
      <c r="CX350" s="2">
        <f t="shared" si="33"/>
        <v>0</v>
      </c>
    </row>
    <row r="351" spans="2:102" ht="38.25">
      <c r="B351" s="49" t="s">
        <v>1366</v>
      </c>
      <c r="C351" s="14" t="s">
        <v>1367</v>
      </c>
      <c r="D351" s="95">
        <f t="shared" si="40"/>
        <v>1.11491271569206E-12</v>
      </c>
      <c r="E351" s="95">
        <f t="shared" si="41"/>
        <v>1.489999999999997E-12</v>
      </c>
      <c r="F351" s="96">
        <f t="shared" si="42"/>
        <v>0.17288640000000002</v>
      </c>
      <c r="G351" s="108"/>
      <c r="H351" s="39" t="s">
        <v>1859</v>
      </c>
      <c r="J351" s="42"/>
      <c r="K351" s="132">
        <v>1.489999999999997E-12</v>
      </c>
      <c r="L351" s="133">
        <v>87</v>
      </c>
      <c r="M351" s="134">
        <v>2</v>
      </c>
      <c r="N351" s="132"/>
      <c r="O351" s="134"/>
      <c r="P351" s="135"/>
      <c r="Q351" s="134"/>
      <c r="R351" s="43"/>
      <c r="S351" s="40">
        <f>IF(OR(H351="T",H351="C"),T351,IF(H351="F",(V351/(1+(V351/T351)))*Q351^(1/(1+((LOG10(V351/T351)/R351)^2))),IF(H351="S1",T351+V351,IF(H351="S2",T351+(V351/(1+(V351/T456))),""))))</f>
        <v>1.11491271569206E-12</v>
      </c>
      <c r="T351" s="40">
        <f t="shared" si="43"/>
        <v>1.11491271569206E-12</v>
      </c>
      <c r="U351" s="15">
        <f t="shared" si="44"/>
        <v>0.17288640000000002</v>
      </c>
      <c r="V351" s="132"/>
      <c r="W351" s="132"/>
      <c r="X351" s="134"/>
      <c r="Y351" s="134"/>
      <c r="CU351" s="1" t="s">
        <v>1367</v>
      </c>
      <c r="CX351" s="2">
        <f t="shared" si="33"/>
        <v>0</v>
      </c>
    </row>
    <row r="352" spans="2:102" ht="63.75">
      <c r="B352" s="49" t="s">
        <v>1368</v>
      </c>
      <c r="C352" s="14" t="s">
        <v>1369</v>
      </c>
      <c r="D352" s="95">
        <f t="shared" si="40"/>
        <v>2.307658883679944E-12</v>
      </c>
      <c r="E352" s="95">
        <f t="shared" si="41"/>
        <v>1.5138605778005317E-12</v>
      </c>
      <c r="F352" s="96">
        <f t="shared" si="42"/>
        <v>-0.251323456296359</v>
      </c>
      <c r="G352" s="108"/>
      <c r="H352" s="39" t="s">
        <v>1859</v>
      </c>
      <c r="J352" s="42"/>
      <c r="K352" s="132">
        <v>1.5138605778005317E-12</v>
      </c>
      <c r="L352" s="133">
        <v>-126.47114346636421</v>
      </c>
      <c r="M352" s="134"/>
      <c r="N352" s="132"/>
      <c r="O352" s="134"/>
      <c r="P352" s="135"/>
      <c r="Q352" s="134"/>
      <c r="R352" s="43"/>
      <c r="S352" s="40">
        <f>IF(OR(H352="T",H352="C"),T352,IF(H352="F",(V352/(1+(V352/T352)))*Q352^(1/(1+((LOG10(V352/T352)/R352)^2))),IF(H352="S1",T352+V352,IF(H352="S2",T352+(V352/(1+(V352/T458))),""))))</f>
        <v>2.307658883679944E-12</v>
      </c>
      <c r="T352" s="40">
        <f t="shared" si="43"/>
        <v>2.307658883679944E-12</v>
      </c>
      <c r="U352" s="15">
        <f t="shared" si="44"/>
        <v>-0.251323456296359</v>
      </c>
      <c r="V352" s="132"/>
      <c r="W352" s="132"/>
      <c r="X352" s="134"/>
      <c r="Y352" s="134"/>
      <c r="CU352" s="1" t="s">
        <v>1369</v>
      </c>
      <c r="CX352" s="2">
        <f t="shared" si="33"/>
        <v>0</v>
      </c>
    </row>
    <row r="353" spans="2:102" ht="76.5">
      <c r="B353" s="49" t="s">
        <v>1370</v>
      </c>
      <c r="C353" s="14" t="s">
        <v>1371</v>
      </c>
      <c r="D353" s="95">
        <f t="shared" si="40"/>
        <v>4.3434329500880575E-12</v>
      </c>
      <c r="E353" s="95">
        <f t="shared" si="41"/>
        <v>3.7482611655299665E-12</v>
      </c>
      <c r="F353" s="96">
        <f t="shared" si="42"/>
        <v>-0.08785788440472896</v>
      </c>
      <c r="G353" s="108"/>
      <c r="H353" s="39" t="s">
        <v>1859</v>
      </c>
      <c r="J353" s="42"/>
      <c r="K353" s="132">
        <v>3.7482611655299665E-12</v>
      </c>
      <c r="L353" s="133">
        <v>-44.211898351816096</v>
      </c>
      <c r="M353" s="134"/>
      <c r="N353" s="132"/>
      <c r="O353" s="134"/>
      <c r="P353" s="135"/>
      <c r="Q353" s="134"/>
      <c r="R353" s="43"/>
      <c r="S353" s="40">
        <f>IF(OR(H353="T",H353="C"),T353,IF(H353="F",(V353/(1+(V353/T353)))*Q353^(1/(1+((LOG10(V353/T353)/R353)^2))),IF(H353="S1",T353+V353,IF(H353="S2",T353+(V353/(1+(V353/T459))),""))))</f>
        <v>4.3434329500880575E-12</v>
      </c>
      <c r="T353" s="40">
        <f t="shared" si="43"/>
        <v>4.3434329500880575E-12</v>
      </c>
      <c r="U353" s="15">
        <f t="shared" si="44"/>
        <v>-0.08785788440472896</v>
      </c>
      <c r="V353" s="132"/>
      <c r="W353" s="132"/>
      <c r="X353" s="134"/>
      <c r="Y353" s="134"/>
      <c r="CU353" s="1" t="s">
        <v>1371</v>
      </c>
      <c r="CX353" s="2">
        <f t="shared" si="33"/>
        <v>0</v>
      </c>
    </row>
    <row r="354" spans="2:102" ht="63.75">
      <c r="B354" s="49" t="s">
        <v>1372</v>
      </c>
      <c r="C354" s="14" t="s">
        <v>1373</v>
      </c>
      <c r="D354" s="95">
        <f t="shared" si="40"/>
        <v>9.398304120131219E-12</v>
      </c>
      <c r="E354" s="95">
        <f t="shared" si="41"/>
        <v>2.699849219751097E-12</v>
      </c>
      <c r="F354" s="96">
        <f t="shared" si="42"/>
        <v>-0.7436102400000001</v>
      </c>
      <c r="G354" s="108"/>
      <c r="H354" s="39" t="s">
        <v>1859</v>
      </c>
      <c r="J354" s="42"/>
      <c r="K354" s="132">
        <v>2.699849219751097E-12</v>
      </c>
      <c r="L354" s="133">
        <v>-374.2</v>
      </c>
      <c r="M354" s="134"/>
      <c r="N354" s="132"/>
      <c r="O354" s="134"/>
      <c r="P354" s="135"/>
      <c r="Q354" s="134"/>
      <c r="R354" s="43"/>
      <c r="S354" s="40">
        <f>IF(OR(H354="T",H354="C"),T354,IF(H354="F",(V354/(1+(V354/T354)))*Q354^(1/(1+((LOG10(V354/T354)/R354)^2))),IF(H354="S1",T354+V354,IF(H354="S2",T354+(V354/(1+(V354/T460))),""))))</f>
        <v>9.398304120131219E-12</v>
      </c>
      <c r="T354" s="40">
        <f t="shared" si="43"/>
        <v>9.398304120131219E-12</v>
      </c>
      <c r="U354" s="15">
        <f t="shared" si="44"/>
        <v>-0.7436102400000001</v>
      </c>
      <c r="V354" s="132"/>
      <c r="W354" s="132"/>
      <c r="X354" s="134"/>
      <c r="Y354" s="134"/>
      <c r="CU354" s="1" t="s">
        <v>1373</v>
      </c>
      <c r="CX354" s="2">
        <f t="shared" si="33"/>
        <v>0</v>
      </c>
    </row>
    <row r="355" spans="2:102" ht="89.25">
      <c r="B355" s="49" t="s">
        <v>1374</v>
      </c>
      <c r="C355" s="14" t="s">
        <v>1027</v>
      </c>
      <c r="D355" s="95">
        <f t="shared" si="40"/>
        <v>3.574269130079772E-11</v>
      </c>
      <c r="E355" s="95">
        <f t="shared" si="41"/>
        <v>6.720984844175681E-12</v>
      </c>
      <c r="F355" s="96">
        <f t="shared" si="42"/>
        <v>-0.9962496</v>
      </c>
      <c r="G355" s="108"/>
      <c r="H355" s="39" t="s">
        <v>1859</v>
      </c>
      <c r="K355" s="116">
        <v>6.720984844175681E-12</v>
      </c>
      <c r="L355" s="120">
        <v>-501.33333333333326</v>
      </c>
      <c r="M355" s="117"/>
      <c r="N355" s="116"/>
      <c r="O355" s="117"/>
      <c r="P355" s="118"/>
      <c r="Q355" s="117"/>
      <c r="S355" s="40">
        <f>IF(OR(H355="T",H355="C"),T355,IF(H355="F",(V355/(1+(V355/T355)))*Q355^(1/(1+((LOG10(V355/T355)/R355)^2))),IF(H355="S1",T355+V355,IF(H355="S2",T355+(V355/(1+(V355/T356))),""))))</f>
        <v>3.574269130079772E-11</v>
      </c>
      <c r="T355" s="40">
        <f t="shared" si="43"/>
        <v>3.574269130079772E-11</v>
      </c>
      <c r="U355" s="15">
        <f t="shared" si="44"/>
        <v>-0.9962496</v>
      </c>
      <c r="V355" s="116"/>
      <c r="W355" s="116"/>
      <c r="X355" s="117"/>
      <c r="Y355" s="117"/>
      <c r="CU355" s="1" t="s">
        <v>1027</v>
      </c>
      <c r="CX355" s="2">
        <f t="shared" si="33"/>
        <v>0</v>
      </c>
    </row>
    <row r="356" spans="2:102" ht="89.25">
      <c r="B356" s="49" t="s">
        <v>1375</v>
      </c>
      <c r="C356" s="14" t="s">
        <v>1028</v>
      </c>
      <c r="D356" s="95">
        <f t="shared" si="40"/>
        <v>1.1025330565822604E-17</v>
      </c>
      <c r="E356" s="95">
        <f t="shared" si="41"/>
        <v>3.1937319560851716E-15</v>
      </c>
      <c r="F356" s="96">
        <f t="shared" si="42"/>
        <v>3.3794820000000003</v>
      </c>
      <c r="G356" s="108"/>
      <c r="H356" s="39" t="s">
        <v>1859</v>
      </c>
      <c r="K356" s="116">
        <v>3.1937319560851716E-15</v>
      </c>
      <c r="L356" s="120">
        <v>1700.625</v>
      </c>
      <c r="M356" s="117"/>
      <c r="N356" s="116"/>
      <c r="O356" s="117"/>
      <c r="P356" s="118"/>
      <c r="Q356" s="117"/>
      <c r="S356" s="40">
        <f>IF(OR(H356="T",H356="C"),T356,IF(H356="F",(V356/(1+(V356/T356)))*Q356^(1/(1+((LOG10(V356/T356)/R356)^2))),IF(H356="S1",T356+V356,IF(H356="S2",T356+(V356/(1+(V356/T357))),""))))</f>
        <v>1.1025330565822604E-17</v>
      </c>
      <c r="T356" s="40">
        <f t="shared" si="43"/>
        <v>1.1025330565822604E-17</v>
      </c>
      <c r="U356" s="15">
        <f t="shared" si="44"/>
        <v>3.3794820000000003</v>
      </c>
      <c r="V356" s="116"/>
      <c r="W356" s="116"/>
      <c r="X356" s="117"/>
      <c r="Y356" s="117"/>
      <c r="CU356" s="1" t="s">
        <v>1028</v>
      </c>
      <c r="CX356" s="2">
        <f t="shared" si="33"/>
        <v>0</v>
      </c>
    </row>
    <row r="357" spans="2:102" ht="63.75">
      <c r="B357" s="49" t="s">
        <v>1376</v>
      </c>
      <c r="C357" s="14" t="s">
        <v>1029</v>
      </c>
      <c r="D357" s="95">
        <f t="shared" si="40"/>
        <v>1.6383704828527877E-14</v>
      </c>
      <c r="E357" s="95">
        <f t="shared" si="41"/>
        <v>5.371552897424539E-13</v>
      </c>
      <c r="F357" s="96">
        <f t="shared" si="42"/>
        <v>2.0805984</v>
      </c>
      <c r="G357" s="108"/>
      <c r="H357" s="39" t="s">
        <v>1859</v>
      </c>
      <c r="K357" s="116">
        <v>5.371552897424539E-13</v>
      </c>
      <c r="L357" s="120">
        <v>1047</v>
      </c>
      <c r="M357" s="117"/>
      <c r="N357" s="116"/>
      <c r="O357" s="117"/>
      <c r="P357" s="118"/>
      <c r="Q357" s="117"/>
      <c r="S357" s="40">
        <f>IF(OR(H357="T",H357="C"),T357,IF(H357="F",(V357/(1+(V357/T357)))*Q357^(1/(1+((LOG10(V357/T357)/R357)^2))),IF(H357="S1",T357+V357,IF(H357="S2",T357+(V357/(1+(V357/T358))),""))))</f>
        <v>1.6383704828527877E-14</v>
      </c>
      <c r="T357" s="40">
        <f t="shared" si="43"/>
        <v>1.6383704828527877E-14</v>
      </c>
      <c r="U357" s="15">
        <f t="shared" si="44"/>
        <v>2.0805984</v>
      </c>
      <c r="V357" s="116"/>
      <c r="W357" s="116"/>
      <c r="X357" s="117"/>
      <c r="Y357" s="117"/>
      <c r="CU357" s="1" t="s">
        <v>1029</v>
      </c>
      <c r="CX357" s="2">
        <f t="shared" si="33"/>
        <v>0</v>
      </c>
    </row>
    <row r="358" spans="2:102" ht="25.5">
      <c r="B358" s="49" t="s">
        <v>1377</v>
      </c>
      <c r="C358" s="14" t="s">
        <v>1030</v>
      </c>
      <c r="D358" s="95">
        <f t="shared" si="40"/>
        <v>5.440918247869491E-12</v>
      </c>
      <c r="E358" s="95">
        <f t="shared" si="41"/>
        <v>1.6128929273189247E-11</v>
      </c>
      <c r="F358" s="96">
        <f t="shared" si="42"/>
        <v>0.6478272</v>
      </c>
      <c r="G358" s="108"/>
      <c r="H358" s="39" t="s">
        <v>1859</v>
      </c>
      <c r="K358" s="116">
        <v>1.6128929273189247E-11</v>
      </c>
      <c r="L358" s="120">
        <v>326</v>
      </c>
      <c r="M358" s="117"/>
      <c r="N358" s="116"/>
      <c r="O358" s="117"/>
      <c r="P358" s="118"/>
      <c r="Q358" s="117"/>
      <c r="S358" s="40">
        <f>IF(OR(H358="T",H358="C"),T358,IF(H358="F",(V358/(1+(V358/T358)))*Q358^(1/(1+((LOG10(V358/T358)/R358)^2))),IF(H358="S1",T358+V358,IF(H358="S2",T358+(V358/(1+(V358/T461))),""))))</f>
        <v>5.440918247869491E-12</v>
      </c>
      <c r="T358" s="40">
        <f t="shared" si="43"/>
        <v>5.440918247869491E-12</v>
      </c>
      <c r="U358" s="15">
        <f t="shared" si="44"/>
        <v>0.6478272</v>
      </c>
      <c r="V358" s="116"/>
      <c r="W358" s="116"/>
      <c r="X358" s="117"/>
      <c r="Y358" s="117"/>
      <c r="CU358" s="1" t="s">
        <v>1030</v>
      </c>
      <c r="CX358" s="2">
        <f t="shared" si="33"/>
        <v>0</v>
      </c>
    </row>
    <row r="359" spans="2:102" ht="76.5">
      <c r="B359" s="49" t="s">
        <v>1378</v>
      </c>
      <c r="C359" s="14" t="s">
        <v>1031</v>
      </c>
      <c r="D359" s="95">
        <f t="shared" si="40"/>
        <v>6.407355649409313E-11</v>
      </c>
      <c r="E359" s="95">
        <f t="shared" si="41"/>
        <v>1.2604220820510295E-11</v>
      </c>
      <c r="F359" s="96">
        <f t="shared" si="42"/>
        <v>-0.9693561600000001</v>
      </c>
      <c r="G359" s="108"/>
      <c r="H359" s="39" t="s">
        <v>1859</v>
      </c>
      <c r="K359" s="116">
        <v>1.2604220820510295E-11</v>
      </c>
      <c r="L359" s="120">
        <v>-487.8</v>
      </c>
      <c r="M359" s="117"/>
      <c r="N359" s="116"/>
      <c r="O359" s="117"/>
      <c r="P359" s="118"/>
      <c r="Q359" s="117"/>
      <c r="S359" s="40">
        <f>IF(OR(H359="T",H359="C"),T359,IF(H359="F",(V359/(1+(V359/T359)))*Q359^(1/(1+((LOG10(V359/T359)/R359)^2))),IF(H359="S1",T359+V359,IF(H359="S2",T359+(V359/(1+(V359/T360))),""))))</f>
        <v>6.407355649409313E-11</v>
      </c>
      <c r="T359" s="40">
        <f t="shared" si="43"/>
        <v>6.407355649409313E-11</v>
      </c>
      <c r="U359" s="15">
        <f t="shared" si="44"/>
        <v>-0.9693561600000001</v>
      </c>
      <c r="V359" s="116"/>
      <c r="W359" s="116"/>
      <c r="X359" s="117"/>
      <c r="Y359" s="117"/>
      <c r="CU359" s="1" t="s">
        <v>1031</v>
      </c>
      <c r="CX359" s="2">
        <f t="shared" si="33"/>
        <v>0</v>
      </c>
    </row>
    <row r="360" spans="2:102" ht="127.5">
      <c r="B360" s="49" t="s">
        <v>1379</v>
      </c>
      <c r="C360" s="14" t="s">
        <v>1032</v>
      </c>
      <c r="D360" s="95">
        <f t="shared" si="40"/>
        <v>1.3096258661832837E-16</v>
      </c>
      <c r="E360" s="95">
        <f t="shared" si="41"/>
        <v>8.591449944358141E-15</v>
      </c>
      <c r="F360" s="96">
        <f t="shared" si="42"/>
        <v>2.4941016</v>
      </c>
      <c r="G360" s="108"/>
      <c r="H360" s="39" t="s">
        <v>1859</v>
      </c>
      <c r="K360" s="116">
        <v>8.591449944358141E-15</v>
      </c>
      <c r="L360" s="120">
        <v>1255.0833333333333</v>
      </c>
      <c r="M360" s="117"/>
      <c r="N360" s="116"/>
      <c r="O360" s="117"/>
      <c r="P360" s="118"/>
      <c r="Q360" s="117"/>
      <c r="S360" s="40">
        <f>IF(OR(H360="T",H360="C"),T360,IF(H360="F",(V360/(1+(V360/T360)))*Q360^(1/(1+((LOG10(V360/T360)/R360)^2))),IF(H360="S1",T360+V360,IF(H360="S2",T360+(V360/(1+(V360/T361))),""))))</f>
        <v>1.3096258661832837E-16</v>
      </c>
      <c r="T360" s="40">
        <f t="shared" si="43"/>
        <v>1.3096258661832837E-16</v>
      </c>
      <c r="U360" s="15">
        <f t="shared" si="44"/>
        <v>2.4941016</v>
      </c>
      <c r="V360" s="116"/>
      <c r="W360" s="116"/>
      <c r="X360" s="117"/>
      <c r="Y360" s="117"/>
      <c r="CU360" s="1" t="s">
        <v>1032</v>
      </c>
      <c r="CX360" s="2">
        <f t="shared" si="33"/>
        <v>0</v>
      </c>
    </row>
    <row r="361" spans="2:102" ht="76.5">
      <c r="B361" s="49" t="s">
        <v>1380</v>
      </c>
      <c r="C361" s="14" t="s">
        <v>1033</v>
      </c>
      <c r="D361" s="95">
        <f t="shared" si="40"/>
        <v>8.259189815423364E-13</v>
      </c>
      <c r="E361" s="95">
        <f t="shared" si="41"/>
        <v>2.3117230696874577E-13</v>
      </c>
      <c r="F361" s="96">
        <f t="shared" si="42"/>
        <v>-0.7591104000000001</v>
      </c>
      <c r="G361" s="108"/>
      <c r="H361" s="39" t="s">
        <v>1859</v>
      </c>
      <c r="K361" s="116">
        <v>2.3117230696874577E-13</v>
      </c>
      <c r="L361" s="120">
        <v>-382</v>
      </c>
      <c r="M361" s="117"/>
      <c r="N361" s="116"/>
      <c r="O361" s="117"/>
      <c r="P361" s="118"/>
      <c r="Q361" s="117"/>
      <c r="S361" s="40">
        <f>IF(OR(H361="T",H361="C"),T361,IF(H361="F",(V361/(1+(V361/T361)))*Q361^(1/(1+((LOG10(V361/T361)/R361)^2))),IF(H361="S1",T361+V361,IF(H361="S2",T361+(V361/(1+(V361/T362))),""))))</f>
        <v>8.259189815423364E-13</v>
      </c>
      <c r="T361" s="40">
        <f t="shared" si="43"/>
        <v>8.259189815423364E-13</v>
      </c>
      <c r="U361" s="15">
        <f t="shared" si="44"/>
        <v>-0.7591104000000001</v>
      </c>
      <c r="V361" s="116"/>
      <c r="W361" s="116"/>
      <c r="X361" s="117"/>
      <c r="Y361" s="117"/>
      <c r="CU361" s="1" t="s">
        <v>1033</v>
      </c>
      <c r="CX361" s="2">
        <f t="shared" si="33"/>
        <v>0</v>
      </c>
    </row>
    <row r="362" spans="2:102" ht="25.5">
      <c r="B362" s="49" t="s">
        <v>1381</v>
      </c>
      <c r="C362" s="14" t="s">
        <v>1034</v>
      </c>
      <c r="D362" s="95">
        <f t="shared" si="40"/>
        <v>2.0710671022437922E-11</v>
      </c>
      <c r="E362" s="95">
        <f t="shared" si="41"/>
        <v>1.4311533382495409E-11</v>
      </c>
      <c r="F362" s="96">
        <f t="shared" si="42"/>
        <v>-0.22033080000000002</v>
      </c>
      <c r="G362" s="108"/>
      <c r="H362" s="39" t="s">
        <v>1859</v>
      </c>
      <c r="K362" s="116">
        <v>1.4311533382495409E-11</v>
      </c>
      <c r="L362" s="120">
        <v>-110.875</v>
      </c>
      <c r="M362" s="117"/>
      <c r="N362" s="116"/>
      <c r="O362" s="117"/>
      <c r="P362" s="118"/>
      <c r="Q362" s="117"/>
      <c r="S362" s="40">
        <f>IF(OR(H362="T",H362="C"),T362,IF(H362="F",(V362/(1+(V362/T362)))*Q362^(1/(1+((LOG10(V362/T362)/R362)^2))),IF(H362="S1",T362+V362,IF(H362="S2",T362+(V362/(1+(V362/T462))),""))))</f>
        <v>2.0710671022437922E-11</v>
      </c>
      <c r="T362" s="40">
        <f t="shared" si="43"/>
        <v>2.0710671022437922E-11</v>
      </c>
      <c r="U362" s="15">
        <f t="shared" si="44"/>
        <v>-0.22033080000000002</v>
      </c>
      <c r="V362" s="116"/>
      <c r="W362" s="116"/>
      <c r="X362" s="117"/>
      <c r="Y362" s="117"/>
      <c r="CU362" s="1" t="s">
        <v>1034</v>
      </c>
      <c r="CX362" s="2">
        <f t="shared" si="33"/>
        <v>0</v>
      </c>
    </row>
    <row r="363" spans="2:102" ht="76.5">
      <c r="B363" s="49" t="s">
        <v>1382</v>
      </c>
      <c r="C363" s="14" t="s">
        <v>1035</v>
      </c>
      <c r="D363" s="95">
        <f t="shared" si="40"/>
        <v>7.837601953512872E-12</v>
      </c>
      <c r="E363" s="95">
        <f t="shared" si="41"/>
      </c>
      <c r="F363" s="96">
        <f t="shared" si="42"/>
      </c>
      <c r="G363" s="108"/>
      <c r="H363" s="39" t="s">
        <v>1851</v>
      </c>
      <c r="J363" s="42"/>
      <c r="K363" s="132">
        <v>7.837601953512872E-12</v>
      </c>
      <c r="L363" s="133"/>
      <c r="M363" s="134"/>
      <c r="N363" s="132"/>
      <c r="O363" s="134"/>
      <c r="P363" s="135"/>
      <c r="Q363" s="134"/>
      <c r="R363" s="43"/>
      <c r="S363" s="40">
        <f>IF(OR(H363="T",H363="C"),T363,IF(H363="F",(V363/(1+(V363/T363)))*Q363^(1/(1+((LOG10(V363/T363)/R363)^2))),IF(H363="S1",T363+V363,IF(H363="S2",T363+(V363/(1+(V363/T463))),""))))</f>
        <v>7.837601953512872E-12</v>
      </c>
      <c r="T363" s="40">
        <f t="shared" si="43"/>
        <v>7.837601953512872E-12</v>
      </c>
      <c r="U363" s="15">
        <f t="shared" si="44"/>
        <v>0</v>
      </c>
      <c r="V363" s="132"/>
      <c r="W363" s="132"/>
      <c r="X363" s="134"/>
      <c r="Y363" s="134"/>
      <c r="CU363" s="1" t="s">
        <v>1035</v>
      </c>
      <c r="CX363" s="2">
        <f t="shared" si="33"/>
        <v>0</v>
      </c>
    </row>
    <row r="364" spans="2:102" ht="89.25">
      <c r="B364" s="49" t="s">
        <v>1383</v>
      </c>
      <c r="C364" s="14" t="s">
        <v>1036</v>
      </c>
      <c r="D364" s="95">
        <f t="shared" si="40"/>
        <v>3.0851887557561194E-11</v>
      </c>
      <c r="E364" s="95">
        <f t="shared" si="41"/>
      </c>
      <c r="F364" s="96">
        <f t="shared" si="42"/>
      </c>
      <c r="G364" s="108"/>
      <c r="H364" s="39" t="s">
        <v>1851</v>
      </c>
      <c r="J364" s="42"/>
      <c r="K364" s="132">
        <v>3.0851887557561194E-11</v>
      </c>
      <c r="L364" s="133"/>
      <c r="M364" s="134"/>
      <c r="N364" s="132"/>
      <c r="O364" s="134"/>
      <c r="P364" s="135"/>
      <c r="Q364" s="134"/>
      <c r="R364" s="43"/>
      <c r="S364" s="40">
        <f>IF(OR(H364="T",H364="C"),T364,IF(H364="F",(V364/(1+(V364/T364)))*Q364^(1/(1+((LOG10(V364/T364)/R364)^2))),IF(H364="S1",T364+V364,IF(H364="S2",T364+(V364/(1+(V364/T464))),""))))</f>
        <v>3.0851887557561194E-11</v>
      </c>
      <c r="T364" s="40">
        <f t="shared" si="43"/>
        <v>3.0851887557561194E-11</v>
      </c>
      <c r="U364" s="15">
        <f t="shared" si="44"/>
        <v>0</v>
      </c>
      <c r="V364" s="132"/>
      <c r="W364" s="132"/>
      <c r="X364" s="134"/>
      <c r="Y364" s="134"/>
      <c r="CU364" s="1" t="s">
        <v>1036</v>
      </c>
      <c r="CX364" s="2">
        <f t="shared" si="33"/>
        <v>0</v>
      </c>
    </row>
    <row r="365" spans="2:102" ht="89.25">
      <c r="B365" s="49" t="s">
        <v>1384</v>
      </c>
      <c r="C365" s="14" t="s">
        <v>1037</v>
      </c>
      <c r="D365" s="95">
        <f t="shared" si="40"/>
        <v>9.67198434622334E-11</v>
      </c>
      <c r="E365" s="95">
        <f t="shared" si="41"/>
        <v>2.2712824001365252E-11</v>
      </c>
      <c r="F365" s="96">
        <f t="shared" si="42"/>
        <v>-0.8637695999999999</v>
      </c>
      <c r="G365" s="108"/>
      <c r="H365" s="39" t="s">
        <v>1859</v>
      </c>
      <c r="J365" s="42"/>
      <c r="K365" s="132">
        <v>2.2712824001365252E-11</v>
      </c>
      <c r="L365" s="133">
        <v>-434.6666666666666</v>
      </c>
      <c r="M365" s="134"/>
      <c r="N365" s="132"/>
      <c r="O365" s="134"/>
      <c r="P365" s="135"/>
      <c r="Q365" s="134"/>
      <c r="R365" s="43"/>
      <c r="S365" s="40">
        <f>IF(OR(H365="T",H365="C"),T365,IF(H365="F",(V365/(1+(V365/T365)))*Q365^(1/(1+((LOG10(V365/T365)/R365)^2))),IF(H365="S1",T365+V365,IF(H365="S2",T365+(V365/(1+(V365/#REF!))),""))))</f>
        <v>9.67198434622334E-11</v>
      </c>
      <c r="T365" s="40">
        <f t="shared" si="43"/>
        <v>9.67198434622334E-11</v>
      </c>
      <c r="U365" s="15">
        <f t="shared" si="44"/>
        <v>-0.8637695999999999</v>
      </c>
      <c r="V365" s="132"/>
      <c r="W365" s="132"/>
      <c r="X365" s="134"/>
      <c r="Y365" s="134"/>
      <c r="CU365" s="1" t="s">
        <v>1037</v>
      </c>
      <c r="CX365" s="2">
        <f t="shared" si="33"/>
        <v>0</v>
      </c>
    </row>
    <row r="366" spans="2:102" ht="114.75">
      <c r="B366" s="49" t="s">
        <v>1385</v>
      </c>
      <c r="C366" s="14" t="s">
        <v>1038</v>
      </c>
      <c r="D366" s="95">
        <f t="shared" si="40"/>
        <v>6.052041501220917E-17</v>
      </c>
      <c r="E366" s="95">
        <f t="shared" si="41"/>
        <v>8.279731665697412E-16</v>
      </c>
      <c r="F366" s="96">
        <f t="shared" si="42"/>
        <v>1.55955456</v>
      </c>
      <c r="G366" s="108"/>
      <c r="H366" s="39" t="s">
        <v>1859</v>
      </c>
      <c r="J366" s="42"/>
      <c r="K366" s="132">
        <v>8.279731665697412E-16</v>
      </c>
      <c r="L366" s="133">
        <v>784.8</v>
      </c>
      <c r="M366" s="134"/>
      <c r="N366" s="132"/>
      <c r="O366" s="134"/>
      <c r="P366" s="135"/>
      <c r="Q366" s="134"/>
      <c r="R366" s="43"/>
      <c r="S366" s="40">
        <f>IF(OR(H366="T",H366="C"),T366,IF(H366="F",(V366/(1+(V366/T366)))*Q366^(1/(1+((LOG10(V366/T366)/R366)^2))),IF(H366="S1",T366+V366,IF(H366="S2",T366+(V366/(1+(V366/#REF!))),""))))</f>
        <v>6.052041501220917E-17</v>
      </c>
      <c r="T366" s="40">
        <f t="shared" si="43"/>
        <v>6.052041501220917E-17</v>
      </c>
      <c r="U366" s="15">
        <f t="shared" si="44"/>
        <v>1.55955456</v>
      </c>
      <c r="V366" s="132"/>
      <c r="W366" s="132"/>
      <c r="X366" s="134"/>
      <c r="Y366" s="134"/>
      <c r="CU366" s="1" t="s">
        <v>1038</v>
      </c>
      <c r="CX366" s="2">
        <f t="shared" si="33"/>
        <v>0</v>
      </c>
    </row>
    <row r="367" spans="2:102" ht="89.25">
      <c r="B367" s="49" t="s">
        <v>1386</v>
      </c>
      <c r="C367" s="14" t="s">
        <v>1039</v>
      </c>
      <c r="D367" s="95">
        <f t="shared" si="40"/>
        <v>6.7987397440631975E-12</v>
      </c>
      <c r="E367" s="95">
        <f t="shared" si="41"/>
        <v>1.327641327574775E-12</v>
      </c>
      <c r="F367" s="96">
        <f t="shared" si="42"/>
        <v>-0.973728</v>
      </c>
      <c r="G367" s="108"/>
      <c r="H367" s="39" t="s">
        <v>1859</v>
      </c>
      <c r="J367" s="42"/>
      <c r="K367" s="132">
        <v>1.327641327574775E-12</v>
      </c>
      <c r="L367" s="133">
        <v>-490</v>
      </c>
      <c r="M367" s="134"/>
      <c r="N367" s="132"/>
      <c r="O367" s="134"/>
      <c r="P367" s="135"/>
      <c r="Q367" s="134"/>
      <c r="R367" s="43"/>
      <c r="S367" s="40">
        <f>IF(OR(H367="T",H367="C"),T367,IF(H367="F",(V367/(1+(V367/T367)))*Q367^(1/(1+((LOG10(V367/T367)/R367)^2))),IF(H367="S1",T367+V367,IF(H367="S2",T367+(V367/(1+(V367/#REF!))),""))))</f>
        <v>6.7987397440631975E-12</v>
      </c>
      <c r="T367" s="40">
        <f t="shared" si="43"/>
        <v>6.7987397440631975E-12</v>
      </c>
      <c r="U367" s="15">
        <f t="shared" si="44"/>
        <v>-0.973728</v>
      </c>
      <c r="V367" s="132"/>
      <c r="W367" s="132"/>
      <c r="X367" s="134"/>
      <c r="Y367" s="134"/>
      <c r="CU367" s="1" t="s">
        <v>1039</v>
      </c>
      <c r="CX367" s="2">
        <f t="shared" si="33"/>
        <v>0</v>
      </c>
    </row>
    <row r="368" spans="2:102" ht="25.5">
      <c r="B368" s="49" t="s">
        <v>1387</v>
      </c>
      <c r="C368" s="14" t="s">
        <v>1040</v>
      </c>
      <c r="D368" s="95">
        <f t="shared" si="40"/>
        <v>4.020697114689873E-11</v>
      </c>
      <c r="E368" s="95">
        <f t="shared" si="41"/>
      </c>
      <c r="F368" s="96">
        <f t="shared" si="42"/>
      </c>
      <c r="G368" s="108"/>
      <c r="H368" s="39" t="s">
        <v>1851</v>
      </c>
      <c r="J368" s="42"/>
      <c r="K368" s="132">
        <v>4.020697114689873E-11</v>
      </c>
      <c r="L368" s="133">
        <v>0</v>
      </c>
      <c r="M368" s="134"/>
      <c r="N368" s="132"/>
      <c r="O368" s="134"/>
      <c r="P368" s="135"/>
      <c r="Q368" s="134"/>
      <c r="R368" s="43"/>
      <c r="S368" s="40">
        <f>IF(OR(H368="T",H368="C"),T368,IF(H368="F",(V368/(1+(V368/T368)))*Q368^(1/(1+((LOG10(V368/T368)/R368)^2))),IF(H368="S1",T368+V368,IF(H368="S2",T368+(V368/(1+(V368/#REF!))),""))))</f>
        <v>4.020697114689873E-11</v>
      </c>
      <c r="T368" s="40">
        <f t="shared" si="43"/>
        <v>4.020697114689873E-11</v>
      </c>
      <c r="U368" s="15">
        <f t="shared" si="44"/>
        <v>0</v>
      </c>
      <c r="V368" s="132"/>
      <c r="W368" s="132"/>
      <c r="X368" s="134"/>
      <c r="Y368" s="134"/>
      <c r="CU368" s="1" t="s">
        <v>1040</v>
      </c>
      <c r="CX368" s="2">
        <f t="shared" si="33"/>
        <v>0</v>
      </c>
    </row>
    <row r="369" spans="2:102" ht="89.25">
      <c r="B369" s="49" t="s">
        <v>599</v>
      </c>
      <c r="C369" s="14" t="s">
        <v>1388</v>
      </c>
      <c r="D369" s="98" t="str">
        <f>IF(H369="S",CONCATENATE("Same k as rxn ",I369),H369)</f>
        <v>Same k as rxn BL16</v>
      </c>
      <c r="E369" s="98"/>
      <c r="F369" s="98"/>
      <c r="G369" s="99"/>
      <c r="H369" s="39" t="s">
        <v>56</v>
      </c>
      <c r="I369" s="49" t="s">
        <v>1384</v>
      </c>
      <c r="J369" s="42"/>
      <c r="K369" s="132"/>
      <c r="L369" s="133"/>
      <c r="M369" s="134"/>
      <c r="N369" s="132"/>
      <c r="O369" s="134"/>
      <c r="P369" s="135"/>
      <c r="Q369" s="134"/>
      <c r="R369" s="43"/>
      <c r="S369" s="40"/>
      <c r="T369" s="40"/>
      <c r="U369" s="15"/>
      <c r="V369" s="132"/>
      <c r="W369" s="132"/>
      <c r="X369" s="134"/>
      <c r="Y369" s="134"/>
      <c r="CU369" s="1" t="s">
        <v>1388</v>
      </c>
      <c r="CX369" s="2">
        <f t="shared" si="33"/>
        <v>0</v>
      </c>
    </row>
    <row r="370" spans="2:102" ht="114.75">
      <c r="B370" s="49" t="s">
        <v>600</v>
      </c>
      <c r="C370" s="14" t="s">
        <v>1391</v>
      </c>
      <c r="D370" s="98" t="str">
        <f>IF(H370="S",CONCATENATE("Same k as rxn ",I370),H370)</f>
        <v>Same k as rxn BL17</v>
      </c>
      <c r="E370" s="98"/>
      <c r="F370" s="98"/>
      <c r="G370" s="99"/>
      <c r="H370" s="39" t="s">
        <v>56</v>
      </c>
      <c r="I370" s="49" t="s">
        <v>1385</v>
      </c>
      <c r="J370" s="42"/>
      <c r="K370" s="132"/>
      <c r="L370" s="133"/>
      <c r="M370" s="134"/>
      <c r="N370" s="132"/>
      <c r="O370" s="134"/>
      <c r="P370" s="135"/>
      <c r="Q370" s="134"/>
      <c r="R370" s="43"/>
      <c r="S370" s="40"/>
      <c r="T370" s="40"/>
      <c r="U370" s="15"/>
      <c r="V370" s="132"/>
      <c r="W370" s="132"/>
      <c r="X370" s="134"/>
      <c r="Y370" s="134"/>
      <c r="CU370" s="1" t="s">
        <v>1391</v>
      </c>
      <c r="CX370" s="2">
        <f t="shared" si="33"/>
        <v>0</v>
      </c>
    </row>
    <row r="371" spans="2:102" ht="89.25">
      <c r="B371" s="49" t="s">
        <v>601</v>
      </c>
      <c r="C371" s="14" t="s">
        <v>1392</v>
      </c>
      <c r="D371" s="98" t="str">
        <f>IF(H371="S",CONCATENATE("Same k as rxn ",I371),H371)</f>
        <v>Same k as rxn BL18</v>
      </c>
      <c r="E371" s="98"/>
      <c r="F371" s="98"/>
      <c r="G371" s="99"/>
      <c r="H371" s="39" t="s">
        <v>56</v>
      </c>
      <c r="I371" s="49" t="s">
        <v>1386</v>
      </c>
      <c r="J371" s="42"/>
      <c r="K371" s="132"/>
      <c r="L371" s="133"/>
      <c r="M371" s="134"/>
      <c r="N371" s="132"/>
      <c r="O371" s="134"/>
      <c r="P371" s="135"/>
      <c r="Q371" s="134"/>
      <c r="R371" s="43"/>
      <c r="S371" s="40"/>
      <c r="T371" s="40"/>
      <c r="U371" s="15"/>
      <c r="V371" s="132"/>
      <c r="W371" s="132"/>
      <c r="X371" s="134"/>
      <c r="Y371" s="134"/>
      <c r="CU371" s="1" t="s">
        <v>1392</v>
      </c>
      <c r="CX371" s="2">
        <f t="shared" si="33"/>
        <v>0</v>
      </c>
    </row>
    <row r="372" spans="2:102" ht="25.5">
      <c r="B372" s="49" t="s">
        <v>602</v>
      </c>
      <c r="C372" s="14" t="s">
        <v>1393</v>
      </c>
      <c r="D372" s="98" t="str">
        <f>IF(H372="S",CONCATENATE("Same k as rxn ",I372),H372)</f>
        <v>Same k as rxn BL19</v>
      </c>
      <c r="E372" s="98"/>
      <c r="F372" s="98"/>
      <c r="G372" s="99"/>
      <c r="H372" s="39" t="s">
        <v>56</v>
      </c>
      <c r="I372" s="49" t="s">
        <v>1387</v>
      </c>
      <c r="J372" s="42"/>
      <c r="K372" s="132"/>
      <c r="L372" s="133"/>
      <c r="M372" s="134"/>
      <c r="N372" s="132"/>
      <c r="O372" s="134"/>
      <c r="P372" s="135"/>
      <c r="Q372" s="134"/>
      <c r="R372" s="43"/>
      <c r="S372" s="40"/>
      <c r="T372" s="40"/>
      <c r="U372" s="15"/>
      <c r="V372" s="132"/>
      <c r="W372" s="132"/>
      <c r="X372" s="134"/>
      <c r="Y372" s="134"/>
      <c r="CU372" s="1" t="s">
        <v>1393</v>
      </c>
      <c r="CX372" s="2">
        <f t="shared" si="33"/>
        <v>0</v>
      </c>
    </row>
    <row r="373" spans="4:102" ht="15">
      <c r="D373" s="95"/>
      <c r="E373" s="95"/>
      <c r="F373" s="96"/>
      <c r="G373" s="108"/>
      <c r="J373" s="42"/>
      <c r="K373" s="132"/>
      <c r="L373" s="133"/>
      <c r="M373" s="134"/>
      <c r="N373" s="132"/>
      <c r="O373" s="134"/>
      <c r="P373" s="135"/>
      <c r="Q373" s="134"/>
      <c r="R373" s="43"/>
      <c r="S373" s="40"/>
      <c r="T373" s="40"/>
      <c r="U373" s="15"/>
      <c r="V373" s="132"/>
      <c r="W373" s="132"/>
      <c r="X373" s="134"/>
      <c r="Y373" s="134"/>
      <c r="CX373" s="2">
        <f t="shared" si="33"/>
        <v>0</v>
      </c>
    </row>
    <row r="374" spans="1:102" ht="15">
      <c r="A374" s="13" t="s">
        <v>1110</v>
      </c>
      <c r="D374" s="98"/>
      <c r="E374" s="98"/>
      <c r="F374" s="98"/>
      <c r="G374" s="99"/>
      <c r="K374" s="116"/>
      <c r="L374" s="120"/>
      <c r="M374" s="118"/>
      <c r="N374" s="116"/>
      <c r="O374" s="120"/>
      <c r="P374" s="118"/>
      <c r="Q374" s="117"/>
      <c r="R374" s="136"/>
      <c r="S374" s="116"/>
      <c r="T374" s="116"/>
      <c r="U374" s="117"/>
      <c r="V374" s="116"/>
      <c r="W374" s="116"/>
      <c r="X374" s="117"/>
      <c r="Y374" s="117"/>
      <c r="CX374" s="2">
        <f t="shared" si="33"/>
        <v>0</v>
      </c>
    </row>
    <row r="375" spans="2:102" ht="15">
      <c r="B375" s="49" t="s">
        <v>1111</v>
      </c>
      <c r="C375" s="14" t="s">
        <v>1112</v>
      </c>
      <c r="D375" s="98" t="str">
        <f>IF(H375="P",CONCATENATE("Phot Set= ",I375,IF(J375=0,"",CONCATENATE(", qy= ",TEXT(J375,"0.0e+0")))),H375)</f>
        <v>Phot Set= CL2</v>
      </c>
      <c r="E375" s="98"/>
      <c r="F375" s="98"/>
      <c r="G375" s="99"/>
      <c r="H375" s="39" t="s">
        <v>1856</v>
      </c>
      <c r="I375" s="49" t="s">
        <v>1792</v>
      </c>
      <c r="K375" s="116"/>
      <c r="L375" s="120"/>
      <c r="M375" s="118"/>
      <c r="N375" s="116"/>
      <c r="O375" s="120"/>
      <c r="P375" s="118"/>
      <c r="Q375" s="117"/>
      <c r="R375" s="136"/>
      <c r="S375" s="116"/>
      <c r="T375" s="116"/>
      <c r="U375" s="117"/>
      <c r="V375" s="116"/>
      <c r="W375" s="116"/>
      <c r="X375" s="117"/>
      <c r="Y375" s="117"/>
      <c r="CU375" s="1" t="s">
        <v>1112</v>
      </c>
      <c r="CX375" s="2">
        <f t="shared" si="33"/>
        <v>0</v>
      </c>
    </row>
    <row r="376" spans="2:102" ht="15">
      <c r="B376" s="49" t="s">
        <v>1861</v>
      </c>
      <c r="C376" s="14" t="s">
        <v>1113</v>
      </c>
      <c r="D376" s="98" t="s">
        <v>1114</v>
      </c>
      <c r="E376" s="98"/>
      <c r="F376" s="99"/>
      <c r="G376" s="99"/>
      <c r="H376" s="39" t="s">
        <v>1859</v>
      </c>
      <c r="K376" s="116">
        <v>1.4E-33</v>
      </c>
      <c r="L376" s="120">
        <v>0</v>
      </c>
      <c r="M376" s="118">
        <v>-3.9</v>
      </c>
      <c r="N376" s="116"/>
      <c r="O376" s="120"/>
      <c r="P376" s="118"/>
      <c r="Q376" s="117"/>
      <c r="R376" s="136"/>
      <c r="S376" s="40">
        <f>IF(OR(H376="T",H376="C"),T376,IF(H376="F",(V376/(1+(V376/T376)))*Q376^(1/(1+(LOG10(V376/T376)^2))),IF(H376="S1",T376+V376,"")))</f>
        <v>1.4E-33</v>
      </c>
      <c r="T376" s="40">
        <f>K376*EXP(-L376/T$4)*((T$4/300)^M376)</f>
        <v>1.4E-33</v>
      </c>
      <c r="U376" s="15">
        <f>L376*Rfac</f>
        <v>0</v>
      </c>
      <c r="V376" s="116"/>
      <c r="W376" s="116"/>
      <c r="X376" s="117"/>
      <c r="Y376" s="117"/>
      <c r="CU376" s="1" t="s">
        <v>1113</v>
      </c>
      <c r="CX376" s="2">
        <f t="shared" si="33"/>
        <v>0</v>
      </c>
    </row>
    <row r="377" spans="2:102" ht="15">
      <c r="B377" s="49" t="s">
        <v>1861</v>
      </c>
      <c r="C377" s="14" t="s">
        <v>1115</v>
      </c>
      <c r="D377" s="98" t="s">
        <v>1114</v>
      </c>
      <c r="E377" s="98"/>
      <c r="F377" s="99"/>
      <c r="G377" s="99"/>
      <c r="H377" s="39" t="s">
        <v>1859</v>
      </c>
      <c r="K377" s="116">
        <v>2.8E-10</v>
      </c>
      <c r="L377" s="120">
        <v>1820</v>
      </c>
      <c r="M377" s="118"/>
      <c r="N377" s="116"/>
      <c r="O377" s="120"/>
      <c r="P377" s="118"/>
      <c r="Q377" s="117"/>
      <c r="R377" s="136"/>
      <c r="S377" s="40">
        <f>IF(OR(H377="T",H377="C"),T377,IF(H377="F",(V377/(1+(V377/T377)))*Q377^(1/(1+(LOG10(V377/T377)^2))),IF(H377="S1",T377+V377,"")))</f>
        <v>6.492891931214375E-13</v>
      </c>
      <c r="T377" s="40">
        <f>K377*EXP(-L377/T$4)*((T$4/300)^M377)</f>
        <v>6.492891931214375E-13</v>
      </c>
      <c r="U377" s="15">
        <f>L377*Rfac</f>
        <v>3.6167040000000004</v>
      </c>
      <c r="V377" s="116"/>
      <c r="W377" s="116"/>
      <c r="X377" s="117"/>
      <c r="Y377" s="117"/>
      <c r="CU377" s="1" t="s">
        <v>1115</v>
      </c>
      <c r="CX377" s="2">
        <f t="shared" si="33"/>
        <v>0</v>
      </c>
    </row>
    <row r="378" spans="2:102" ht="15">
      <c r="B378" s="49" t="s">
        <v>1116</v>
      </c>
      <c r="C378" s="14" t="s">
        <v>1117</v>
      </c>
      <c r="D378" s="95">
        <f>IF(OR(H378="T",H378="C"),S378,H378)</f>
        <v>7.6E-32</v>
      </c>
      <c r="E378" s="95">
        <f>K378</f>
        <v>7.6E-32</v>
      </c>
      <c r="F378" s="96">
        <f>IF(H378="C","",U378)</f>
        <v>0</v>
      </c>
      <c r="G378" s="96">
        <f>IF(M378=0,"",M378)</f>
        <v>-1.8</v>
      </c>
      <c r="H378" s="39" t="s">
        <v>1859</v>
      </c>
      <c r="K378" s="116">
        <v>7.6E-32</v>
      </c>
      <c r="L378" s="120"/>
      <c r="M378" s="118">
        <v>-1.8</v>
      </c>
      <c r="N378" s="116"/>
      <c r="O378" s="120"/>
      <c r="P378" s="118"/>
      <c r="Q378" s="117"/>
      <c r="R378" s="136"/>
      <c r="S378" s="40">
        <f>IF(OR(H378="T",H378="C"),T378,IF(H378="F",(V378/(1+(V378/T378)))*Q378^(1/(1+(LOG10(V378/T378)^2))),IF(H378="S1",T378+V378,"")))</f>
        <v>7.6E-32</v>
      </c>
      <c r="T378" s="40">
        <f>K378*EXP(-L378/T$4)*((T$4/300)^M378)</f>
        <v>7.6E-32</v>
      </c>
      <c r="U378" s="15">
        <f>L378*Rfac</f>
        <v>0</v>
      </c>
      <c r="V378" s="116"/>
      <c r="W378" s="116"/>
      <c r="X378" s="117"/>
      <c r="Y378" s="117"/>
      <c r="CU378" s="1" t="s">
        <v>1117</v>
      </c>
      <c r="CX378" s="2">
        <f t="shared" si="33"/>
        <v>0</v>
      </c>
    </row>
    <row r="379" spans="2:102" ht="15">
      <c r="B379" s="49" t="s">
        <v>1118</v>
      </c>
      <c r="C379" s="14" t="s">
        <v>1119</v>
      </c>
      <c r="D379" s="98" t="str">
        <f>IF(H379="P",CONCATENATE("Phot Set= ",I379,IF(J379=0,"",CONCATENATE(", qy= ",TEXT(J379,"0.0e+0")))),H379)</f>
        <v>Phot Set= CLNO-06</v>
      </c>
      <c r="E379" s="98"/>
      <c r="F379" s="98"/>
      <c r="G379" s="99"/>
      <c r="H379" s="39" t="s">
        <v>1856</v>
      </c>
      <c r="I379" s="49" t="s">
        <v>1120</v>
      </c>
      <c r="K379" s="116"/>
      <c r="L379" s="120"/>
      <c r="M379" s="118"/>
      <c r="N379" s="116"/>
      <c r="O379" s="120"/>
      <c r="P379" s="118"/>
      <c r="Q379" s="117"/>
      <c r="R379" s="136"/>
      <c r="S379" s="116"/>
      <c r="T379" s="116"/>
      <c r="U379" s="117"/>
      <c r="V379" s="116"/>
      <c r="W379" s="116"/>
      <c r="X379" s="117"/>
      <c r="Y379" s="117"/>
      <c r="CU379" s="1" t="s">
        <v>1119</v>
      </c>
      <c r="CX379" s="2">
        <f t="shared" si="33"/>
        <v>0</v>
      </c>
    </row>
    <row r="380" spans="2:102" ht="15">
      <c r="B380" s="49" t="s">
        <v>1121</v>
      </c>
      <c r="C380" s="14" t="s">
        <v>1122</v>
      </c>
      <c r="D380" s="95">
        <f>S380</f>
        <v>1.6022348627303108E-11</v>
      </c>
      <c r="E380" s="103" t="str">
        <f>IF(H380="F","Falloff, F="&amp;TEXT(Q380,"0.00")&amp;", N="&amp;TEXT(R380,"0.00"),H380)</f>
        <v>Falloff, F=0.60, N=1.00</v>
      </c>
      <c r="F380" s="103"/>
      <c r="G380" s="99"/>
      <c r="H380" s="39" t="s">
        <v>1843</v>
      </c>
      <c r="K380" s="116">
        <v>1E-10</v>
      </c>
      <c r="L380" s="120">
        <v>0</v>
      </c>
      <c r="M380" s="118">
        <v>-1</v>
      </c>
      <c r="N380" s="116">
        <v>1.3E-30</v>
      </c>
      <c r="O380" s="120">
        <v>0</v>
      </c>
      <c r="P380" s="118">
        <v>-2</v>
      </c>
      <c r="Q380" s="117">
        <v>0.6</v>
      </c>
      <c r="R380" s="136">
        <v>1</v>
      </c>
      <c r="S380" s="40">
        <f>IF(OR(H380="T",H380="C"),T380,IF(H380="F",(V380/(1+(V380/T380)))*Q380^(1/(1+(LOG10(V380/T380)^2))),IF(H380="S1",T380+V380,IF(H380="S2",T380+(V380/(1+(V380/T383))),""))))</f>
        <v>1.6022348627303108E-11</v>
      </c>
      <c r="T380" s="40">
        <f>K380*EXP(-L380/T$4)*((T$4/300)^M380)</f>
        <v>1E-10</v>
      </c>
      <c r="U380" s="15">
        <f>L380*Rfac</f>
        <v>0</v>
      </c>
      <c r="V380" s="40">
        <f>W380*V$3*7.3395E+21/T$4</f>
        <v>3.18045E-11</v>
      </c>
      <c r="W380" s="40">
        <f>N380*EXP(-O380/T$4)*(T$4/300)^P380</f>
        <v>1.3E-30</v>
      </c>
      <c r="X380" s="15">
        <f>O380*Rfac</f>
        <v>0</v>
      </c>
      <c r="Y380" s="15"/>
      <c r="CU380" s="1" t="s">
        <v>1122</v>
      </c>
      <c r="CX380" s="2">
        <f t="shared" si="33"/>
        <v>0</v>
      </c>
    </row>
    <row r="381" spans="2:102" ht="15">
      <c r="B381" s="49" t="s">
        <v>1861</v>
      </c>
      <c r="D381" s="137" t="str">
        <f>IF(H380="F","0: ",H380)</f>
        <v>0: </v>
      </c>
      <c r="E381" s="95">
        <f>N380</f>
        <v>1.3E-30</v>
      </c>
      <c r="F381" s="96">
        <f>X380</f>
        <v>0</v>
      </c>
      <c r="G381" s="96">
        <f>P380</f>
        <v>-2</v>
      </c>
      <c r="K381" s="116"/>
      <c r="L381" s="120"/>
      <c r="M381" s="118"/>
      <c r="N381" s="116"/>
      <c r="O381" s="120"/>
      <c r="P381" s="118"/>
      <c r="Q381" s="117"/>
      <c r="R381" s="136"/>
      <c r="X381" s="117"/>
      <c r="Y381" s="117"/>
      <c r="CX381" s="2">
        <f t="shared" si="33"/>
        <v>0</v>
      </c>
    </row>
    <row r="382" spans="2:102" ht="15">
      <c r="B382" s="49" t="s">
        <v>1861</v>
      </c>
      <c r="D382" s="137" t="str">
        <f>IF(H380="F","inf: ",H380)</f>
        <v>inf: </v>
      </c>
      <c r="E382" s="95">
        <f>K380</f>
        <v>1E-10</v>
      </c>
      <c r="F382" s="96">
        <f>U380</f>
        <v>0</v>
      </c>
      <c r="G382" s="96">
        <f>M380</f>
        <v>-1</v>
      </c>
      <c r="K382" s="116"/>
      <c r="L382" s="120"/>
      <c r="M382" s="118"/>
      <c r="N382" s="116"/>
      <c r="O382" s="120"/>
      <c r="P382" s="118"/>
      <c r="Q382" s="117"/>
      <c r="R382" s="136"/>
      <c r="X382" s="117"/>
      <c r="Y382" s="117"/>
      <c r="CX382" s="2">
        <f t="shared" si="33"/>
        <v>0</v>
      </c>
    </row>
    <row r="383" spans="2:102" ht="15">
      <c r="B383" s="49" t="s">
        <v>1123</v>
      </c>
      <c r="C383" s="14" t="s">
        <v>1124</v>
      </c>
      <c r="D383" s="95">
        <f>S383</f>
        <v>3.523423959125473E-12</v>
      </c>
      <c r="E383" s="103" t="str">
        <f>IF(H383="F","Falloff, F="&amp;TEXT(Q383,"0.00")&amp;", N="&amp;TEXT(R383,"0.00"),H383)</f>
        <v>Falloff, F=0.60, N=1.00</v>
      </c>
      <c r="F383" s="103"/>
      <c r="G383" s="99"/>
      <c r="H383" s="39" t="s">
        <v>1843</v>
      </c>
      <c r="K383" s="116">
        <v>1E-10</v>
      </c>
      <c r="L383" s="120">
        <v>0</v>
      </c>
      <c r="M383" s="118">
        <v>-1</v>
      </c>
      <c r="N383" s="116">
        <v>1.8E-31</v>
      </c>
      <c r="O383" s="120">
        <v>0</v>
      </c>
      <c r="P383" s="118">
        <v>-2</v>
      </c>
      <c r="Q383" s="117">
        <v>0.6</v>
      </c>
      <c r="R383" s="136">
        <v>1</v>
      </c>
      <c r="S383" s="40">
        <f>IF(OR(H383="T",H383="C"),T383,IF(H383="F",(V383/(1+(V383/T383)))*Q383^(1/(1+(LOG10(V383/T383)^2))),IF(H383="S1",T383+V383,IF(H383="S2",T383+(V383/(1+(V383/T386))),""))))</f>
        <v>3.523423959125473E-12</v>
      </c>
      <c r="T383" s="40">
        <f>K383*EXP(-L383/T$4)*((T$4/300)^M383)</f>
        <v>1E-10</v>
      </c>
      <c r="U383" s="15">
        <f>L383*Rfac</f>
        <v>0</v>
      </c>
      <c r="V383" s="40">
        <f>W383*V$3*7.3395E+21/T$4</f>
        <v>4.4037E-12</v>
      </c>
      <c r="W383" s="40">
        <f>N383*EXP(-O383/T$4)*(T$4/300)^P383</f>
        <v>1.8E-31</v>
      </c>
      <c r="X383" s="15">
        <f>O383*Rfac</f>
        <v>0</v>
      </c>
      <c r="Y383" s="15"/>
      <c r="CU383" s="1" t="s">
        <v>1124</v>
      </c>
      <c r="CX383" s="2">
        <f t="shared" si="33"/>
        <v>0</v>
      </c>
    </row>
    <row r="384" spans="2:102" ht="15">
      <c r="B384" s="49" t="s">
        <v>1861</v>
      </c>
      <c r="D384" s="137" t="str">
        <f>IF(H383="F","0: ",H383)</f>
        <v>0: </v>
      </c>
      <c r="E384" s="95">
        <f>N383</f>
        <v>1.8E-31</v>
      </c>
      <c r="F384" s="96">
        <f>X383</f>
        <v>0</v>
      </c>
      <c r="G384" s="96">
        <f>P383</f>
        <v>-2</v>
      </c>
      <c r="K384" s="116"/>
      <c r="L384" s="120"/>
      <c r="M384" s="118"/>
      <c r="N384" s="116"/>
      <c r="O384" s="120"/>
      <c r="P384" s="118"/>
      <c r="Q384" s="117"/>
      <c r="R384" s="136"/>
      <c r="X384" s="117"/>
      <c r="Y384" s="117"/>
      <c r="CX384" s="2">
        <f t="shared" si="33"/>
        <v>0</v>
      </c>
    </row>
    <row r="385" spans="2:102" ht="15">
      <c r="B385" s="49" t="s">
        <v>1861</v>
      </c>
      <c r="D385" s="137" t="str">
        <f>IF(H383="F","inf: ",H383)</f>
        <v>inf: </v>
      </c>
      <c r="E385" s="95">
        <f>K383</f>
        <v>1E-10</v>
      </c>
      <c r="F385" s="96">
        <f>U383</f>
        <v>0</v>
      </c>
      <c r="G385" s="96">
        <f>M383</f>
        <v>-1</v>
      </c>
      <c r="K385" s="116"/>
      <c r="L385" s="120"/>
      <c r="M385" s="118"/>
      <c r="N385" s="116"/>
      <c r="O385" s="120"/>
      <c r="P385" s="118"/>
      <c r="Q385" s="117"/>
      <c r="R385" s="136"/>
      <c r="X385" s="117"/>
      <c r="Y385" s="117"/>
      <c r="CX385" s="2">
        <f t="shared" si="33"/>
        <v>0</v>
      </c>
    </row>
    <row r="386" spans="2:102" ht="15">
      <c r="B386" s="49" t="s">
        <v>1125</v>
      </c>
      <c r="C386" s="14" t="s">
        <v>1126</v>
      </c>
      <c r="D386" s="98" t="str">
        <f>IF(H386="P",CONCATENATE("Phot Set= ",I386,IF(J386=0,"",CONCATENATE(", qy= ",TEXT(J386,"0.0e+0")))),H386)</f>
        <v>Phot Set= CLONO</v>
      </c>
      <c r="E386" s="98"/>
      <c r="F386" s="98"/>
      <c r="G386" s="99"/>
      <c r="H386" s="39" t="s">
        <v>1856</v>
      </c>
      <c r="I386" s="49" t="s">
        <v>1796</v>
      </c>
      <c r="K386" s="116"/>
      <c r="L386" s="120"/>
      <c r="M386" s="118"/>
      <c r="N386" s="116"/>
      <c r="O386" s="120"/>
      <c r="P386" s="118"/>
      <c r="Q386" s="117"/>
      <c r="R386" s="136"/>
      <c r="S386" s="116"/>
      <c r="T386" s="116"/>
      <c r="U386" s="117"/>
      <c r="V386" s="116"/>
      <c r="W386" s="116"/>
      <c r="X386" s="117"/>
      <c r="Y386" s="117"/>
      <c r="CU386" s="1" t="s">
        <v>1126</v>
      </c>
      <c r="CX386" s="2">
        <f t="shared" si="33"/>
        <v>0</v>
      </c>
    </row>
    <row r="387" spans="2:102" ht="15">
      <c r="B387" s="49" t="s">
        <v>1127</v>
      </c>
      <c r="C387" s="14" t="s">
        <v>1128</v>
      </c>
      <c r="D387" s="98" t="str">
        <f>IF(H387="P",CONCATENATE("Phot Set= ",I387,IF(J387=0,"",CONCATENATE(", qy= ",TEXT(J387,"0.0e+0")))),H387)</f>
        <v>Phot Set= CLNO2</v>
      </c>
      <c r="E387" s="98"/>
      <c r="F387" s="98"/>
      <c r="G387" s="99"/>
      <c r="H387" s="39" t="s">
        <v>1856</v>
      </c>
      <c r="I387" s="49" t="s">
        <v>1798</v>
      </c>
      <c r="K387" s="116"/>
      <c r="L387" s="120"/>
      <c r="M387" s="118"/>
      <c r="N387" s="116"/>
      <c r="O387" s="120"/>
      <c r="P387" s="118"/>
      <c r="Q387" s="117"/>
      <c r="R387" s="136"/>
      <c r="S387" s="116"/>
      <c r="T387" s="116"/>
      <c r="U387" s="117"/>
      <c r="V387" s="116"/>
      <c r="W387" s="116"/>
      <c r="X387" s="117"/>
      <c r="Y387" s="117"/>
      <c r="CU387" s="1" t="s">
        <v>1128</v>
      </c>
      <c r="CX387" s="2">
        <f t="shared" si="33"/>
        <v>0</v>
      </c>
    </row>
    <row r="388" spans="2:102" ht="15">
      <c r="B388" s="49" t="s">
        <v>1129</v>
      </c>
      <c r="C388" s="14" t="s">
        <v>1130</v>
      </c>
      <c r="D388" s="95">
        <f>IF(OR(H388="T",H388="C"),S388,H388)</f>
        <v>3.444026821324636E-11</v>
      </c>
      <c r="E388" s="95">
        <f>K388</f>
        <v>3.444026821324636E-11</v>
      </c>
      <c r="F388" s="96">
        <f>IF(H388="C","",U388)</f>
        <v>0</v>
      </c>
      <c r="G388" s="96">
        <f>IF(M388=0,"",M388)</f>
        <v>-0.5586324358938983</v>
      </c>
      <c r="H388" s="39" t="s">
        <v>1859</v>
      </c>
      <c r="K388" s="116">
        <v>3.444026821324636E-11</v>
      </c>
      <c r="L388" s="120">
        <v>0</v>
      </c>
      <c r="M388" s="118">
        <v>-0.5586324358938983</v>
      </c>
      <c r="N388" s="116"/>
      <c r="O388" s="120"/>
      <c r="P388" s="118"/>
      <c r="Q388" s="117"/>
      <c r="R388" s="136"/>
      <c r="S388" s="40">
        <f>IF(OR(H388="T",H388="C"),T388,IF(H388="F",(V388/(1+(V388/T388)))*Q388^(1/(1+(LOG10(V388/T388)^2))),IF(H388="S1",T388+V388,"")))</f>
        <v>3.444026821324636E-11</v>
      </c>
      <c r="T388" s="40">
        <f aca="true" t="shared" si="45" ref="T388:T393">K388*EXP(-L388/T$4)*((T$4/300)^M388)</f>
        <v>3.444026821324636E-11</v>
      </c>
      <c r="U388" s="15">
        <f>L388*Rfac</f>
        <v>0</v>
      </c>
      <c r="V388" s="116"/>
      <c r="W388" s="116"/>
      <c r="X388" s="117"/>
      <c r="Y388" s="117"/>
      <c r="CU388" s="1" t="s">
        <v>1130</v>
      </c>
      <c r="CX388" s="2">
        <f t="shared" si="33"/>
        <v>0</v>
      </c>
    </row>
    <row r="389" spans="2:102" ht="15">
      <c r="B389" s="49" t="s">
        <v>1131</v>
      </c>
      <c r="C389" s="14" t="s">
        <v>1132</v>
      </c>
      <c r="D389" s="95">
        <f>IF(OR(H389="T",H389="C"),S389,H389)</f>
        <v>9.414628272410498E-12</v>
      </c>
      <c r="E389" s="95">
        <f>K389</f>
        <v>9.414628272410498E-12</v>
      </c>
      <c r="F389" s="96">
        <f>IF(H389="C","",U389)</f>
        <v>0</v>
      </c>
      <c r="G389" s="96">
        <f>IF(M389=0,"",M389)</f>
        <v>2.0989101394429066</v>
      </c>
      <c r="H389" s="39" t="s">
        <v>1859</v>
      </c>
      <c r="K389" s="116">
        <v>9.414628272410498E-12</v>
      </c>
      <c r="L389" s="120">
        <v>0</v>
      </c>
      <c r="M389" s="118">
        <v>2.0989101394429066</v>
      </c>
      <c r="N389" s="116"/>
      <c r="O389" s="120"/>
      <c r="P389" s="118"/>
      <c r="Q389" s="117"/>
      <c r="R389" s="136"/>
      <c r="S389" s="40">
        <f>IF(OR(H389="T",H389="C"),T389,IF(H389="F",(V389/(1+(V389/T389)))*Q389^(1/(1+(LOG10(V389/T389)^2))),IF(H389="S1",T389+V389,"")))</f>
        <v>9.414628272410498E-12</v>
      </c>
      <c r="T389" s="40">
        <f t="shared" si="45"/>
        <v>9.414628272410498E-12</v>
      </c>
      <c r="U389" s="15">
        <f>L389*Rfac</f>
        <v>0</v>
      </c>
      <c r="V389" s="116"/>
      <c r="W389" s="116"/>
      <c r="X389" s="117"/>
      <c r="Y389" s="117"/>
      <c r="CU389" s="1" t="s">
        <v>1132</v>
      </c>
      <c r="CX389" s="2">
        <f t="shared" si="33"/>
        <v>0</v>
      </c>
    </row>
    <row r="390" spans="2:102" ht="15">
      <c r="B390" s="49" t="s">
        <v>1133</v>
      </c>
      <c r="C390" s="14" t="s">
        <v>1134</v>
      </c>
      <c r="D390" s="95">
        <f>IF(OR(H390="T",H390="C"),S390,H390)</f>
        <v>1.216874983819819E-11</v>
      </c>
      <c r="E390" s="95">
        <f>K390</f>
        <v>2.8E-11</v>
      </c>
      <c r="F390" s="96">
        <f>IF(H390="C","",U390)</f>
        <v>0.4968</v>
      </c>
      <c r="G390" s="96">
        <f>IF(M390=0,"",M390)</f>
      </c>
      <c r="H390" s="39" t="s">
        <v>1859</v>
      </c>
      <c r="K390" s="116">
        <v>2.8E-11</v>
      </c>
      <c r="L390" s="120">
        <v>250</v>
      </c>
      <c r="M390" s="118"/>
      <c r="N390" s="116"/>
      <c r="O390" s="120"/>
      <c r="P390" s="118"/>
      <c r="Q390" s="117"/>
      <c r="R390" s="136"/>
      <c r="S390" s="40">
        <f>IF(OR(H390="T",H390="C"),T390,IF(H390="F",(V390/(1+(V390/T390)))*Q390^(1/(1+(LOG10(V390/T390)^2))),IF(H390="S1",T390+V390,"")))</f>
        <v>1.216874983819819E-11</v>
      </c>
      <c r="T390" s="40">
        <f t="shared" si="45"/>
        <v>1.216874983819819E-11</v>
      </c>
      <c r="U390" s="15">
        <f>L390*Rfac</f>
        <v>0.4968</v>
      </c>
      <c r="V390" s="116"/>
      <c r="W390" s="116"/>
      <c r="X390" s="117"/>
      <c r="Y390" s="117"/>
      <c r="CU390" s="1" t="s">
        <v>1134</v>
      </c>
      <c r="CX390" s="2">
        <f t="shared" si="33"/>
        <v>0</v>
      </c>
    </row>
    <row r="391" spans="2:102" ht="15">
      <c r="B391" s="49" t="s">
        <v>1135</v>
      </c>
      <c r="C391" s="14" t="s">
        <v>1136</v>
      </c>
      <c r="D391" s="95">
        <f>IF(OR(H391="T",H391="C"),S391,H391)</f>
        <v>2.4E-11</v>
      </c>
      <c r="E391" s="95"/>
      <c r="F391" s="96">
        <f>IF(H391="C","",U391)</f>
      </c>
      <c r="G391" s="96">
        <f>IF(M391=0,"",M391)</f>
      </c>
      <c r="H391" s="39" t="s">
        <v>1851</v>
      </c>
      <c r="K391" s="116">
        <v>2.4E-11</v>
      </c>
      <c r="L391" s="120"/>
      <c r="M391" s="118"/>
      <c r="N391" s="116"/>
      <c r="O391" s="120"/>
      <c r="P391" s="118"/>
      <c r="Q391" s="117"/>
      <c r="R391" s="136"/>
      <c r="S391" s="40">
        <f>IF(OR(H391="T",H391="C"),T391,IF(H391="F",(V391/(1+(V391/T391)))*Q391^(1/(1+(LOG10(V391/T391)^2))),IF(H391="S1",T391+V391,IF(H391="S2",T391+(V391/(1+(V391/T393))),""))))</f>
        <v>2.4E-11</v>
      </c>
      <c r="T391" s="40">
        <f t="shared" si="45"/>
        <v>2.4E-11</v>
      </c>
      <c r="U391" s="117"/>
      <c r="V391" s="116"/>
      <c r="W391" s="116"/>
      <c r="X391" s="117"/>
      <c r="Y391" s="117"/>
      <c r="CU391" s="1" t="s">
        <v>1136</v>
      </c>
      <c r="CX391" s="2">
        <f aca="true" t="shared" si="46" ref="CX391:CX454">IF(CU391=C391,0,1)</f>
        <v>0</v>
      </c>
    </row>
    <row r="392" spans="2:102" ht="15">
      <c r="B392" s="49" t="s">
        <v>1137</v>
      </c>
      <c r="C392" s="14" t="s">
        <v>1138</v>
      </c>
      <c r="D392" s="95">
        <f>IF(OR(H392="T",H392="C"),S392,H392)</f>
        <v>1.657478600673531E-11</v>
      </c>
      <c r="E392" s="95">
        <f>K392</f>
        <v>6.2E-12</v>
      </c>
      <c r="F392" s="96">
        <f>IF(H392="C","",U392)</f>
        <v>-0.5862240000000001</v>
      </c>
      <c r="G392" s="96">
        <f>IF(M392=0,"",M392)</f>
      </c>
      <c r="H392" s="39" t="s">
        <v>1859</v>
      </c>
      <c r="K392" s="116">
        <v>6.2E-12</v>
      </c>
      <c r="L392" s="120">
        <v>-295</v>
      </c>
      <c r="M392" s="118"/>
      <c r="N392" s="116"/>
      <c r="O392" s="120"/>
      <c r="P392" s="118"/>
      <c r="Q392" s="15"/>
      <c r="R392" s="136"/>
      <c r="S392" s="40">
        <f>IF(OR(H392="T",H392="C"),T392,IF(H392="F",(V392/(1+(V392/T392)))*Q392^(1/(1+(LOG10(V392/T392)^2))),IF(H392="S1",T392+V392,"")))</f>
        <v>1.657478600673531E-11</v>
      </c>
      <c r="T392" s="40">
        <f t="shared" si="45"/>
        <v>1.657478600673531E-11</v>
      </c>
      <c r="U392" s="15">
        <f>L392*Rfac</f>
        <v>-0.5862240000000001</v>
      </c>
      <c r="V392" s="116"/>
      <c r="W392" s="116"/>
      <c r="X392" s="117"/>
      <c r="Y392" s="117"/>
      <c r="CU392" s="1" t="s">
        <v>1138</v>
      </c>
      <c r="CX392" s="2">
        <f t="shared" si="46"/>
        <v>0</v>
      </c>
    </row>
    <row r="393" spans="2:102" ht="15">
      <c r="B393" s="49" t="s">
        <v>1139</v>
      </c>
      <c r="C393" s="14" t="s">
        <v>1140</v>
      </c>
      <c r="D393" s="95">
        <f>S393</f>
        <v>2.28640322061888E-12</v>
      </c>
      <c r="E393" s="103" t="str">
        <f>IF(H393="F","Falloff, F="&amp;TEXT(Q393,"0.00")&amp;", N="&amp;TEXT(R393,"0.00"),H393)</f>
        <v>Falloff, F=0.60, N=1.00</v>
      </c>
      <c r="F393" s="103"/>
      <c r="G393" s="99"/>
      <c r="H393" s="39" t="s">
        <v>1843</v>
      </c>
      <c r="K393" s="116">
        <v>1.5E-11</v>
      </c>
      <c r="L393" s="120">
        <v>0</v>
      </c>
      <c r="M393" s="118">
        <v>-1.9</v>
      </c>
      <c r="N393" s="116">
        <v>1.8E-31</v>
      </c>
      <c r="O393" s="120">
        <v>0</v>
      </c>
      <c r="P393" s="118">
        <v>-3.4</v>
      </c>
      <c r="Q393" s="117">
        <v>0.6</v>
      </c>
      <c r="R393" s="136">
        <v>1</v>
      </c>
      <c r="S393" s="40">
        <f>IF(OR(H393="T",H393="C"),T393,IF(H393="F",(V393/(1+(V393/T393)))*Q393^(1/(1+(LOG10(V393/T393)^2))),IF(H393="S1",T393+V393,IF(H393="S2",T393+(V393/(1+(V393/T396))),""))))</f>
        <v>2.28640322061888E-12</v>
      </c>
      <c r="T393" s="40">
        <f t="shared" si="45"/>
        <v>1.5E-11</v>
      </c>
      <c r="U393" s="15">
        <f>L393*Rfac</f>
        <v>0</v>
      </c>
      <c r="V393" s="40">
        <f>W393*V$3*7.3395E+21/T$4</f>
        <v>4.4037E-12</v>
      </c>
      <c r="W393" s="40">
        <f>N393*EXP(-O393/T$4)*(T$4/300)^P393</f>
        <v>1.8E-31</v>
      </c>
      <c r="X393" s="15">
        <f>O393*Rfac</f>
        <v>0</v>
      </c>
      <c r="Y393" s="15"/>
      <c r="CU393" s="1" t="s">
        <v>1140</v>
      </c>
      <c r="CX393" s="2">
        <f t="shared" si="46"/>
        <v>0</v>
      </c>
    </row>
    <row r="394" spans="2:102" ht="15">
      <c r="B394" s="49" t="s">
        <v>1861</v>
      </c>
      <c r="D394" s="137" t="str">
        <f>IF(H393="F","0: ",H393)</f>
        <v>0: </v>
      </c>
      <c r="E394" s="95">
        <f>N393</f>
        <v>1.8E-31</v>
      </c>
      <c r="F394" s="96">
        <f>X393</f>
        <v>0</v>
      </c>
      <c r="G394" s="96">
        <f>P393</f>
        <v>-3.4</v>
      </c>
      <c r="K394" s="116"/>
      <c r="L394" s="120"/>
      <c r="M394" s="118"/>
      <c r="N394" s="116"/>
      <c r="O394" s="120"/>
      <c r="P394" s="118"/>
      <c r="Q394" s="117"/>
      <c r="R394" s="136"/>
      <c r="X394" s="117"/>
      <c r="Y394" s="117"/>
      <c r="CX394" s="2">
        <f t="shared" si="46"/>
        <v>0</v>
      </c>
    </row>
    <row r="395" spans="2:102" ht="15">
      <c r="B395" s="49" t="s">
        <v>1861</v>
      </c>
      <c r="D395" s="137" t="str">
        <f>IF(H393="F","inf: ",H393)</f>
        <v>inf: </v>
      </c>
      <c r="E395" s="95">
        <f>K393</f>
        <v>1.5E-11</v>
      </c>
      <c r="F395" s="96">
        <f>U393</f>
        <v>0</v>
      </c>
      <c r="G395" s="96">
        <f>M393</f>
        <v>-1.9</v>
      </c>
      <c r="K395" s="116"/>
      <c r="L395" s="120"/>
      <c r="M395" s="118"/>
      <c r="N395" s="116"/>
      <c r="O395" s="120"/>
      <c r="P395" s="118"/>
      <c r="Q395" s="117"/>
      <c r="R395" s="136"/>
      <c r="X395" s="117"/>
      <c r="Y395" s="117"/>
      <c r="CX395" s="2">
        <f t="shared" si="46"/>
        <v>0</v>
      </c>
    </row>
    <row r="396" spans="2:102" ht="15">
      <c r="B396" s="49" t="s">
        <v>1141</v>
      </c>
      <c r="C396" s="14" t="s">
        <v>1142</v>
      </c>
      <c r="D396" s="98" t="str">
        <f>IF(H396="P",CONCATENATE("Phot Set= ",I396,IF(J396=0,"",CONCATENATE(", qy= ",TEXT(J396,"0.0e+0")))),H396)</f>
        <v>Phot Set= CLONO2-1</v>
      </c>
      <c r="E396" s="98"/>
      <c r="F396" s="98"/>
      <c r="G396" s="99"/>
      <c r="H396" s="39" t="s">
        <v>1856</v>
      </c>
      <c r="I396" s="49" t="s">
        <v>1143</v>
      </c>
      <c r="K396" s="116"/>
      <c r="L396" s="120"/>
      <c r="M396" s="118"/>
      <c r="N396" s="116"/>
      <c r="O396" s="120"/>
      <c r="P396" s="118"/>
      <c r="Q396" s="117"/>
      <c r="R396" s="136"/>
      <c r="S396" s="116"/>
      <c r="T396" s="116"/>
      <c r="U396" s="117"/>
      <c r="V396" s="116"/>
      <c r="W396" s="116"/>
      <c r="X396" s="117"/>
      <c r="Y396" s="117"/>
      <c r="CU396" s="1" t="s">
        <v>1142</v>
      </c>
      <c r="CX396" s="2">
        <f t="shared" si="46"/>
        <v>0</v>
      </c>
    </row>
    <row r="397" spans="2:102" ht="15">
      <c r="B397" s="49" t="s">
        <v>1144</v>
      </c>
      <c r="C397" s="14" t="s">
        <v>1145</v>
      </c>
      <c r="D397" s="98" t="str">
        <f>IF(H397="P",CONCATENATE("Phot Set= ",I397,IF(J397=0,"",CONCATENATE(", qy= ",TEXT(J397,"0.0e+0")))),H397)</f>
        <v>Phot Set= CLONO2-2</v>
      </c>
      <c r="E397" s="98"/>
      <c r="F397" s="98"/>
      <c r="G397" s="99"/>
      <c r="H397" s="39" t="s">
        <v>1856</v>
      </c>
      <c r="I397" s="49" t="s">
        <v>1146</v>
      </c>
      <c r="K397" s="116"/>
      <c r="L397" s="120"/>
      <c r="M397" s="118"/>
      <c r="N397" s="116"/>
      <c r="O397" s="120"/>
      <c r="P397" s="118"/>
      <c r="Q397" s="117"/>
      <c r="R397" s="136"/>
      <c r="S397" s="116"/>
      <c r="T397" s="116"/>
      <c r="U397" s="117"/>
      <c r="V397" s="116"/>
      <c r="W397" s="116"/>
      <c r="X397" s="117"/>
      <c r="Y397" s="117"/>
      <c r="CU397" s="1" t="s">
        <v>1145</v>
      </c>
      <c r="CX397" s="2">
        <f t="shared" si="46"/>
        <v>0</v>
      </c>
    </row>
    <row r="398" spans="2:102" ht="15">
      <c r="B398" s="49" t="s">
        <v>1147</v>
      </c>
      <c r="C398" s="14" t="s">
        <v>1148</v>
      </c>
      <c r="D398" s="95">
        <f>S398</f>
        <v>0.00041220729274418837</v>
      </c>
      <c r="E398" s="103" t="str">
        <f>IF(H398="F","Falloff, F="&amp;TEXT(Q398,"0.00")&amp;", N="&amp;TEXT(R398,"0.00"),H398)</f>
        <v>Falloff, F=0.60, N=1.00</v>
      </c>
      <c r="F398" s="103"/>
      <c r="G398" s="99"/>
      <c r="H398" s="39" t="s">
        <v>1843</v>
      </c>
      <c r="K398" s="116">
        <v>3710000000000000</v>
      </c>
      <c r="L398" s="120">
        <v>12530</v>
      </c>
      <c r="M398" s="118">
        <v>3.5</v>
      </c>
      <c r="N398" s="116">
        <v>4.48E-05</v>
      </c>
      <c r="O398" s="120">
        <v>12530</v>
      </c>
      <c r="P398" s="118">
        <v>-1</v>
      </c>
      <c r="Q398" s="117">
        <v>0.6</v>
      </c>
      <c r="R398" s="136">
        <v>1</v>
      </c>
      <c r="S398" s="40">
        <f>IF(OR(H398="T",H398="C"),T398,IF(H398="F",(V398/(1+(V398/T398)))*Q398^(1/(1+(LOG10(V398/T398)^2))),IF(H398="S1",T398+V398,IF(H398="S2",T398+(V398/(1+(V398/T403))),""))))</f>
        <v>0.00041220729274418837</v>
      </c>
      <c r="T398" s="40">
        <f>K398*EXP(-L398/T$4)*((T$4/300)^M398)</f>
        <v>0.0026936492798109945</v>
      </c>
      <c r="U398" s="15">
        <f>L398*Rfac</f>
        <v>24.899616</v>
      </c>
      <c r="V398" s="40">
        <f>W398*V$3*7.3395E+21/T$4</f>
        <v>0.0007957751502560118</v>
      </c>
      <c r="W398" s="40">
        <f>N398*EXP(-O398/T$4)*(T$4/300)^P398</f>
        <v>3.252708564300069E-23</v>
      </c>
      <c r="X398" s="15">
        <f>O398*Rfac</f>
        <v>24.899616</v>
      </c>
      <c r="Y398" s="15"/>
      <c r="CU398" s="1" t="s">
        <v>1148</v>
      </c>
      <c r="CX398" s="2">
        <f t="shared" si="46"/>
        <v>0</v>
      </c>
    </row>
    <row r="399" spans="2:102" ht="15">
      <c r="B399" s="49" t="s">
        <v>1861</v>
      </c>
      <c r="D399" s="137" t="str">
        <f>IF(H398="F","0: ",H398)</f>
        <v>0: </v>
      </c>
      <c r="E399" s="95">
        <f>N398</f>
        <v>4.48E-05</v>
      </c>
      <c r="F399" s="96">
        <f>X398</f>
        <v>24.899616</v>
      </c>
      <c r="G399" s="96">
        <f>P398</f>
        <v>-1</v>
      </c>
      <c r="K399" s="116"/>
      <c r="L399" s="120"/>
      <c r="M399" s="118"/>
      <c r="N399" s="116"/>
      <c r="O399" s="120"/>
      <c r="P399" s="118"/>
      <c r="Q399" s="117"/>
      <c r="R399" s="136"/>
      <c r="S399" s="40"/>
      <c r="T399" s="40"/>
      <c r="U399" s="15"/>
      <c r="V399" s="40"/>
      <c r="W399" s="40"/>
      <c r="X399" s="15"/>
      <c r="Y399" s="15"/>
      <c r="CX399" s="2">
        <f t="shared" si="46"/>
        <v>0</v>
      </c>
    </row>
    <row r="400" spans="2:102" ht="15">
      <c r="B400" s="49" t="s">
        <v>1861</v>
      </c>
      <c r="D400" s="137" t="str">
        <f>IF(H398="F","inf: ",H398)</f>
        <v>inf: </v>
      </c>
      <c r="E400" s="95">
        <f>K398</f>
        <v>3710000000000000</v>
      </c>
      <c r="F400" s="96">
        <f>U398</f>
        <v>24.899616</v>
      </c>
      <c r="G400" s="96">
        <f>M398</f>
        <v>3.5</v>
      </c>
      <c r="K400" s="116"/>
      <c r="L400" s="120"/>
      <c r="M400" s="118"/>
      <c r="N400" s="116"/>
      <c r="O400" s="120"/>
      <c r="P400" s="118"/>
      <c r="Q400" s="117"/>
      <c r="R400" s="136"/>
      <c r="S400" s="40"/>
      <c r="T400" s="40"/>
      <c r="U400" s="15"/>
      <c r="V400" s="40"/>
      <c r="W400" s="40"/>
      <c r="X400" s="15"/>
      <c r="Y400" s="15"/>
      <c r="CX400" s="2">
        <f t="shared" si="46"/>
        <v>0</v>
      </c>
    </row>
    <row r="401" spans="2:102" ht="15">
      <c r="B401" s="49" t="s">
        <v>1149</v>
      </c>
      <c r="C401" s="14" t="s">
        <v>1150</v>
      </c>
      <c r="D401" s="95">
        <f>IF(OR(H401="T",H401="C"),S401,H401)</f>
        <v>1.0053115891260894E-11</v>
      </c>
      <c r="E401" s="95">
        <f>K401</f>
        <v>6.2E-12</v>
      </c>
      <c r="F401" s="96">
        <f>IF(H401="C","",U401)</f>
        <v>-0.288144</v>
      </c>
      <c r="G401" s="96">
        <f>IF(M401=0,"",M401)</f>
      </c>
      <c r="H401" s="39" t="s">
        <v>1859</v>
      </c>
      <c r="K401" s="116">
        <v>6.2E-12</v>
      </c>
      <c r="L401" s="120">
        <v>-145</v>
      </c>
      <c r="M401" s="118"/>
      <c r="N401" s="116"/>
      <c r="O401" s="120"/>
      <c r="P401" s="118"/>
      <c r="Q401" s="117"/>
      <c r="R401" s="136"/>
      <c r="S401" s="40">
        <f>IF(OR(H401="T",H401="C"),T401,IF(H401="F",(V401/(1+(V401/T401)))*Q401^(1/(1+(LOG10(V401/T401)^2))),IF(H401="S1",T401+V401,"")))</f>
        <v>1.0053115891260894E-11</v>
      </c>
      <c r="T401" s="40">
        <f>K401*EXP(-L401/T$4)*((T$4/300)^M401)</f>
        <v>1.0053115891260894E-11</v>
      </c>
      <c r="U401" s="15">
        <f>L401*Rfac</f>
        <v>-0.288144</v>
      </c>
      <c r="V401" s="116"/>
      <c r="W401" s="116"/>
      <c r="X401" s="117"/>
      <c r="Y401" s="117"/>
      <c r="CU401" s="1" t="s">
        <v>1150</v>
      </c>
      <c r="CX401" s="2">
        <f t="shared" si="46"/>
        <v>0</v>
      </c>
    </row>
    <row r="402" spans="2:102" ht="15">
      <c r="B402" s="49" t="s">
        <v>1151</v>
      </c>
      <c r="C402" s="14" t="s">
        <v>1152</v>
      </c>
      <c r="D402" s="95">
        <f>IF(OR(H402="T",H402="C"),S402,H402)</f>
        <v>6.833183659151783E-12</v>
      </c>
      <c r="E402" s="95">
        <f>K402</f>
        <v>2.2E-12</v>
      </c>
      <c r="F402" s="96">
        <f>IF(H402="C","",U402)</f>
        <v>-0.675648</v>
      </c>
      <c r="G402" s="96">
        <f>IF(M402=0,"",M402)</f>
      </c>
      <c r="H402" s="39" t="s">
        <v>1859</v>
      </c>
      <c r="K402" s="116">
        <v>2.2E-12</v>
      </c>
      <c r="L402" s="120">
        <v>-340</v>
      </c>
      <c r="M402" s="118"/>
      <c r="N402" s="116"/>
      <c r="O402" s="120"/>
      <c r="P402" s="118"/>
      <c r="Q402" s="117"/>
      <c r="R402" s="136"/>
      <c r="S402" s="40">
        <f>IF(OR(H402="T",H402="C"),T402,IF(H402="F",(V402/(1+(V402/T402)))*Q402^(1/(1+(LOG10(V402/T402)^2))),IF(H402="S1",T402+V402,"")))</f>
        <v>6.833183659151783E-12</v>
      </c>
      <c r="T402" s="40">
        <f>K402*EXP(-L402/T$4)*((T$4/300)^M402)</f>
        <v>6.833183659151783E-12</v>
      </c>
      <c r="U402" s="15">
        <f>L402*Rfac</f>
        <v>-0.675648</v>
      </c>
      <c r="V402" s="116"/>
      <c r="W402" s="116"/>
      <c r="X402" s="117"/>
      <c r="Y402" s="117"/>
      <c r="CU402" s="1" t="s">
        <v>1152</v>
      </c>
      <c r="CX402" s="2">
        <f t="shared" si="46"/>
        <v>0</v>
      </c>
    </row>
    <row r="403" spans="2:102" ht="15">
      <c r="B403" s="49" t="s">
        <v>1153</v>
      </c>
      <c r="C403" s="14" t="s">
        <v>1154</v>
      </c>
      <c r="D403" s="98" t="str">
        <f>IF(H403="P",CONCATENATE("Phot Set= ",I403,IF(J403=0,"",CONCATENATE(", qy= ",TEXT(J403,"0.0e+0")))),H403)</f>
        <v>Phot Set= HOCL-06</v>
      </c>
      <c r="E403" s="98"/>
      <c r="F403" s="98"/>
      <c r="G403" s="99"/>
      <c r="H403" s="39" t="s">
        <v>1856</v>
      </c>
      <c r="I403" s="49" t="s">
        <v>1155</v>
      </c>
      <c r="K403" s="116"/>
      <c r="L403" s="120"/>
      <c r="M403" s="118"/>
      <c r="N403" s="116"/>
      <c r="O403" s="120"/>
      <c r="P403" s="118"/>
      <c r="Q403" s="117"/>
      <c r="R403" s="136"/>
      <c r="S403" s="116"/>
      <c r="T403" s="116"/>
      <c r="U403" s="117"/>
      <c r="V403" s="116"/>
      <c r="W403" s="116"/>
      <c r="X403" s="117"/>
      <c r="Y403" s="117"/>
      <c r="CU403" s="1" t="s">
        <v>1154</v>
      </c>
      <c r="CX403" s="2">
        <f t="shared" si="46"/>
        <v>0</v>
      </c>
    </row>
    <row r="404" spans="2:102" ht="15">
      <c r="B404" s="49" t="s">
        <v>1156</v>
      </c>
      <c r="C404" s="14" t="s">
        <v>1157</v>
      </c>
      <c r="D404" s="95">
        <f>IF(OR(H404="T",H404="C"),S404,H404)</f>
        <v>1.8159009777456006E-14</v>
      </c>
      <c r="E404" s="95">
        <f aca="true" t="shared" si="47" ref="E404:E412">K404</f>
        <v>1.2469344834607813E-11</v>
      </c>
      <c r="F404" s="96">
        <f>IF(H404="C","",U404)</f>
        <v>3.8940346436216666</v>
      </c>
      <c r="G404" s="99"/>
      <c r="H404" s="39" t="s">
        <v>1859</v>
      </c>
      <c r="K404" s="116">
        <v>1.2469344834607813E-11</v>
      </c>
      <c r="L404" s="120">
        <v>1959.5584961864263</v>
      </c>
      <c r="M404" s="118"/>
      <c r="N404" s="116"/>
      <c r="O404" s="120"/>
      <c r="P404" s="118"/>
      <c r="Q404" s="117"/>
      <c r="R404" s="136"/>
      <c r="S404" s="40">
        <f>IF(OR(H404="T",H404="C"),T404,IF(H404="F",(V404/(1+(V404/T404)))*Q404^(1/(1+(LOG10(V404/T404)^2))),IF(H404="S1",T404+V404,"")))</f>
        <v>1.8159009777456006E-14</v>
      </c>
      <c r="T404" s="40">
        <f aca="true" t="shared" si="48" ref="T404:T426">K404*EXP(-L404/T$4)*((T$4/300)^M404)</f>
        <v>1.8159009777456006E-14</v>
      </c>
      <c r="U404" s="15">
        <f>L404*Rfac</f>
        <v>3.8940346436216666</v>
      </c>
      <c r="V404" s="116"/>
      <c r="W404" s="116"/>
      <c r="X404" s="117"/>
      <c r="Y404" s="117"/>
      <c r="CU404" s="1" t="s">
        <v>1157</v>
      </c>
      <c r="CX404" s="2">
        <f t="shared" si="46"/>
        <v>0</v>
      </c>
    </row>
    <row r="405" spans="2:102" ht="15">
      <c r="B405" s="49" t="s">
        <v>1158</v>
      </c>
      <c r="C405" s="14" t="s">
        <v>1159</v>
      </c>
      <c r="D405" s="95">
        <f>IF(OR(H405="T",H405="C"),S405,H405)</f>
        <v>7.897503346135495E-13</v>
      </c>
      <c r="E405" s="95">
        <f t="shared" si="47"/>
        <v>1.7E-12</v>
      </c>
      <c r="F405" s="96">
        <f>IF(H405="C","",U405)</f>
        <v>0.457056</v>
      </c>
      <c r="G405" s="99"/>
      <c r="H405" s="39" t="s">
        <v>1859</v>
      </c>
      <c r="K405" s="116">
        <v>1.7E-12</v>
      </c>
      <c r="L405" s="120">
        <v>230</v>
      </c>
      <c r="M405" s="118"/>
      <c r="N405" s="116"/>
      <c r="O405" s="120"/>
      <c r="P405" s="118"/>
      <c r="Q405" s="117"/>
      <c r="R405" s="136"/>
      <c r="S405" s="40">
        <f>IF(OR(H405="T",H405="C"),T405,IF(H405="F",(V405/(1+(V405/T405)))*Q405^(1/(1+(LOG10(V405/T405)^2))),IF(H405="S1",T405+V405,"")))</f>
        <v>7.897503346135495E-13</v>
      </c>
      <c r="T405" s="40">
        <f t="shared" si="48"/>
        <v>7.897503346135495E-13</v>
      </c>
      <c r="U405" s="15">
        <f>L405*Rfac</f>
        <v>0.457056</v>
      </c>
      <c r="V405" s="116"/>
      <c r="W405" s="116"/>
      <c r="X405" s="117"/>
      <c r="Y405" s="117"/>
      <c r="CU405" s="1" t="s">
        <v>1159</v>
      </c>
      <c r="CX405" s="2">
        <f t="shared" si="46"/>
        <v>0</v>
      </c>
    </row>
    <row r="406" spans="2:102" ht="15">
      <c r="B406" s="49" t="s">
        <v>1160</v>
      </c>
      <c r="C406" s="14" t="s">
        <v>1161</v>
      </c>
      <c r="D406" s="95">
        <f>IF(OR(H406="T",H406="C"),S406,H406)</f>
        <v>1.766026013258508E-14</v>
      </c>
      <c r="E406" s="95">
        <f t="shared" si="47"/>
        <v>3.9E-11</v>
      </c>
      <c r="F406" s="96">
        <f>IF(H406="C","",U406)</f>
        <v>4.590432000000001</v>
      </c>
      <c r="G406" s="96">
        <f aca="true" t="shared" si="49" ref="G406:G412">IF(M406=0,"",M406)</f>
      </c>
      <c r="H406" s="39" t="s">
        <v>1859</v>
      </c>
      <c r="K406" s="116">
        <v>3.9E-11</v>
      </c>
      <c r="L406" s="120">
        <v>2310</v>
      </c>
      <c r="M406" s="118"/>
      <c r="N406" s="116"/>
      <c r="O406" s="120"/>
      <c r="P406" s="118"/>
      <c r="Q406" s="117"/>
      <c r="R406" s="136"/>
      <c r="S406" s="40">
        <f>IF(OR(H406="T",H406="C"),T406,IF(H406="F",(V406/(1+(V406/T406)))*Q406^(1/(1+(LOG10(V406/T406)^2))),IF(H406="S1",T406+V406,"")))</f>
        <v>1.766026013258508E-14</v>
      </c>
      <c r="T406" s="40">
        <f t="shared" si="48"/>
        <v>1.766026013258508E-14</v>
      </c>
      <c r="U406" s="15">
        <f>L406*Rfac</f>
        <v>4.590432000000001</v>
      </c>
      <c r="V406" s="116"/>
      <c r="W406" s="116"/>
      <c r="X406" s="117"/>
      <c r="Y406" s="117"/>
      <c r="CU406" s="1" t="s">
        <v>1161</v>
      </c>
      <c r="CX406" s="2">
        <f t="shared" si="46"/>
        <v>0</v>
      </c>
    </row>
    <row r="407" spans="1:102" ht="15">
      <c r="A407" s="13" t="s">
        <v>1162</v>
      </c>
      <c r="D407" s="95"/>
      <c r="E407" s="95"/>
      <c r="F407" s="96"/>
      <c r="G407" s="96"/>
      <c r="K407" s="116"/>
      <c r="L407" s="120"/>
      <c r="M407" s="118"/>
      <c r="N407" s="116"/>
      <c r="O407" s="120"/>
      <c r="P407" s="118"/>
      <c r="Q407" s="117"/>
      <c r="R407" s="136"/>
      <c r="S407" s="40"/>
      <c r="T407" s="40"/>
      <c r="U407" s="15"/>
      <c r="V407" s="116"/>
      <c r="W407" s="116"/>
      <c r="X407" s="117"/>
      <c r="Y407" s="117"/>
      <c r="CX407" s="2">
        <f t="shared" si="46"/>
        <v>0</v>
      </c>
    </row>
    <row r="408" spans="2:102" ht="15">
      <c r="B408" s="49" t="s">
        <v>1163</v>
      </c>
      <c r="C408" s="14" t="s">
        <v>1164</v>
      </c>
      <c r="D408" s="95">
        <f aca="true" t="shared" si="50" ref="D408:D426">IF(OR(H408="T",H408="C"),S408,H408)</f>
        <v>7.329183086091272E-11</v>
      </c>
      <c r="E408" s="95">
        <f t="shared" si="47"/>
        <v>8.1E-11</v>
      </c>
      <c r="F408" s="96">
        <f>IF(H408="C","",U408)</f>
        <v>0.059616</v>
      </c>
      <c r="G408" s="96">
        <f t="shared" si="49"/>
      </c>
      <c r="H408" s="39" t="s">
        <v>1859</v>
      </c>
      <c r="K408" s="116">
        <v>8.1E-11</v>
      </c>
      <c r="L408" s="120">
        <v>30</v>
      </c>
      <c r="M408" s="118"/>
      <c r="N408" s="116"/>
      <c r="O408" s="120"/>
      <c r="P408" s="118"/>
      <c r="Q408" s="117"/>
      <c r="R408" s="136"/>
      <c r="S408" s="40">
        <f>IF(OR(H408="T",H408="C"),T408,IF(H408="F",(V408/(1+(V408/T408)))*Q408^(1/(1+(LOG10(V408/T408)^2))),IF(H408="S1",T408+V408,"")))</f>
        <v>7.329183086091272E-11</v>
      </c>
      <c r="T408" s="40">
        <f t="shared" si="48"/>
        <v>7.329183086091272E-11</v>
      </c>
      <c r="U408" s="15">
        <f>L408*Rfac</f>
        <v>0.059616</v>
      </c>
      <c r="V408" s="116"/>
      <c r="W408" s="116"/>
      <c r="X408" s="117"/>
      <c r="Y408" s="117"/>
      <c r="CU408" s="1" t="s">
        <v>1164</v>
      </c>
      <c r="CX408" s="2">
        <f t="shared" si="46"/>
        <v>0</v>
      </c>
    </row>
    <row r="409" spans="2:102" ht="15">
      <c r="B409" s="49" t="s">
        <v>1165</v>
      </c>
      <c r="C409" s="14" t="s">
        <v>1166</v>
      </c>
      <c r="D409" s="95">
        <f t="shared" si="50"/>
        <v>8E-11</v>
      </c>
      <c r="E409" s="95">
        <f t="shared" si="47"/>
        <v>8E-11</v>
      </c>
      <c r="F409" s="96">
        <f>IF(H409="C","",U409)</f>
      </c>
      <c r="G409" s="96">
        <f t="shared" si="49"/>
      </c>
      <c r="H409" s="39" t="s">
        <v>1851</v>
      </c>
      <c r="K409" s="116">
        <v>8E-11</v>
      </c>
      <c r="L409" s="120"/>
      <c r="M409" s="118"/>
      <c r="N409" s="116"/>
      <c r="O409" s="120"/>
      <c r="P409" s="118"/>
      <c r="Q409" s="117"/>
      <c r="R409" s="136"/>
      <c r="S409" s="40">
        <f>IF(OR(H409="T",H409="C"),T409,IF(H409="F",(V409/(1+(V409/T409)))*Q409^(1/(1+(LOG10(V409/T409)^2))),IF(H409="S1",T409+V409,IF(H409="S2",T409+(V409/(1+(V409/T412))),""))))</f>
        <v>8E-11</v>
      </c>
      <c r="T409" s="40">
        <f t="shared" si="48"/>
        <v>8E-11</v>
      </c>
      <c r="U409" s="117"/>
      <c r="V409" s="116"/>
      <c r="W409" s="116"/>
      <c r="X409" s="117"/>
      <c r="Y409" s="117"/>
      <c r="CU409" s="1" t="s">
        <v>1166</v>
      </c>
      <c r="CX409" s="2">
        <f t="shared" si="46"/>
        <v>0</v>
      </c>
    </row>
    <row r="410" spans="2:102" ht="15">
      <c r="B410" s="49" t="s">
        <v>1167</v>
      </c>
      <c r="C410" s="14" t="s">
        <v>1168</v>
      </c>
      <c r="D410" s="95">
        <f t="shared" si="50"/>
        <v>5.5E-11</v>
      </c>
      <c r="E410" s="95">
        <f>K410</f>
        <v>5.5E-11</v>
      </c>
      <c r="F410" s="96">
        <f>IF(H410="C","",U410)</f>
        <v>0</v>
      </c>
      <c r="G410" s="96"/>
      <c r="H410" s="39" t="s">
        <v>1859</v>
      </c>
      <c r="K410" s="116">
        <v>5.5E-11</v>
      </c>
      <c r="L410" s="120">
        <v>0</v>
      </c>
      <c r="M410" s="118"/>
      <c r="N410" s="116"/>
      <c r="O410" s="120"/>
      <c r="P410" s="118"/>
      <c r="Q410" s="117"/>
      <c r="R410" s="136"/>
      <c r="S410" s="40">
        <f>IF(OR(H410="T",H410="C"),T410,IF(H410="F",(V410/(1+(V410/T410)))*Q410^(1/(1+(LOG10(V410/T410)^2))),IF(H410="S1",T410+V410,"")))</f>
        <v>5.5E-11</v>
      </c>
      <c r="T410" s="40">
        <f>K410*EXP(-L410/T$4)*((T$4/300)^M410)</f>
        <v>5.5E-11</v>
      </c>
      <c r="U410" s="15">
        <f>L410*Rfac</f>
        <v>0</v>
      </c>
      <c r="V410" s="116"/>
      <c r="W410" s="116"/>
      <c r="X410" s="117"/>
      <c r="Y410" s="117"/>
      <c r="CU410" s="1" t="s">
        <v>1168</v>
      </c>
      <c r="CX410" s="2">
        <f t="shared" si="46"/>
        <v>0</v>
      </c>
    </row>
    <row r="411" spans="2:102" ht="25.5">
      <c r="B411" s="49" t="s">
        <v>1169</v>
      </c>
      <c r="C411" s="14" t="s">
        <v>1170</v>
      </c>
      <c r="D411" s="95">
        <f t="shared" si="50"/>
        <v>1.23E-10</v>
      </c>
      <c r="E411" s="95"/>
      <c r="F411" s="96">
        <f>IF(H411="C","",U411)</f>
      </c>
      <c r="G411" s="96">
        <f t="shared" si="49"/>
      </c>
      <c r="H411" s="39" t="s">
        <v>1851</v>
      </c>
      <c r="K411" s="116">
        <v>1.23E-10</v>
      </c>
      <c r="L411" s="120"/>
      <c r="M411" s="118"/>
      <c r="N411" s="116"/>
      <c r="O411" s="120"/>
      <c r="P411" s="118"/>
      <c r="Q411" s="117"/>
      <c r="R411" s="136"/>
      <c r="S411" s="40">
        <f>IF(OR(H411="T",H411="C"),T411,IF(H411="F",(V411/(1+(V411/T411)))*Q411^(1/(1+(LOG10(V411/T411)^2))),IF(H411="S1",T411+V411,IF(H411="S2",T411+(V411/(1+(V411/#REF!))),""))))</f>
        <v>1.23E-10</v>
      </c>
      <c r="T411" s="40">
        <f t="shared" si="48"/>
        <v>1.23E-10</v>
      </c>
      <c r="U411" s="117"/>
      <c r="V411" s="116"/>
      <c r="W411" s="116"/>
      <c r="X411" s="117"/>
      <c r="Y411" s="117"/>
      <c r="CU411" s="1" t="s">
        <v>1170</v>
      </c>
      <c r="CX411" s="2">
        <f t="shared" si="46"/>
        <v>0</v>
      </c>
    </row>
    <row r="412" spans="2:102" ht="25.5">
      <c r="B412" s="49" t="s">
        <v>1171</v>
      </c>
      <c r="C412" s="14" t="s">
        <v>1172</v>
      </c>
      <c r="D412" s="95">
        <f t="shared" si="50"/>
        <v>2.7468974877384345E-12</v>
      </c>
      <c r="E412" s="95">
        <f t="shared" si="47"/>
        <v>7.7E-11</v>
      </c>
      <c r="F412" s="96">
        <f>IF(H412="C","",U412)</f>
        <v>1.9872</v>
      </c>
      <c r="G412" s="96">
        <f t="shared" si="49"/>
      </c>
      <c r="H412" s="39" t="s">
        <v>1859</v>
      </c>
      <c r="K412" s="116">
        <v>7.7E-11</v>
      </c>
      <c r="L412" s="120">
        <v>1000</v>
      </c>
      <c r="M412" s="118"/>
      <c r="N412" s="116"/>
      <c r="O412" s="120"/>
      <c r="P412" s="118"/>
      <c r="Q412" s="117"/>
      <c r="R412" s="136"/>
      <c r="S412" s="40">
        <f>IF(OR(H412="T",H412="C"),T412,IF(H412="F",(V412/(1+(V412/T412)))*Q412^(1/(1+(LOG10(V412/T412)^2))),IF(H412="S1",T412+V412,"")))</f>
        <v>2.7468974877384345E-12</v>
      </c>
      <c r="T412" s="40">
        <f t="shared" si="48"/>
        <v>2.7468974877384345E-12</v>
      </c>
      <c r="U412" s="15">
        <f>L412*Rfac</f>
        <v>1.9872</v>
      </c>
      <c r="V412" s="116"/>
      <c r="W412" s="116"/>
      <c r="X412" s="117"/>
      <c r="Y412" s="117"/>
      <c r="CU412" s="1" t="s">
        <v>1172</v>
      </c>
      <c r="CX412" s="2">
        <f t="shared" si="46"/>
        <v>0</v>
      </c>
    </row>
    <row r="413" spans="2:102" ht="63.75">
      <c r="B413" s="49" t="s">
        <v>1173</v>
      </c>
      <c r="C413" s="14" t="s">
        <v>1174</v>
      </c>
      <c r="D413" s="95">
        <f t="shared" si="50"/>
        <v>3.6E-11</v>
      </c>
      <c r="E413" s="95"/>
      <c r="F413" s="96"/>
      <c r="G413" s="96"/>
      <c r="H413" s="39" t="s">
        <v>1851</v>
      </c>
      <c r="K413" s="116">
        <v>3.6E-11</v>
      </c>
      <c r="L413" s="120"/>
      <c r="M413" s="118"/>
      <c r="N413" s="116"/>
      <c r="O413" s="120"/>
      <c r="P413" s="118"/>
      <c r="Q413" s="117"/>
      <c r="R413" s="136"/>
      <c r="S413" s="40">
        <f>IF(OR(H413="T",H413="C"),T413,IF(H413="F",(V413/(1+(V413/T413)))*Q413^(1/(1+(LOG10(V413/T413)^2))),IF(H413="S1",T413+V413,IF(H413="S2",T413+(V413/(1+(V413/T416))),""))))</f>
        <v>3.6E-11</v>
      </c>
      <c r="T413" s="40">
        <f t="shared" si="48"/>
        <v>3.6E-11</v>
      </c>
      <c r="U413" s="117"/>
      <c r="V413" s="116"/>
      <c r="W413" s="116"/>
      <c r="X413" s="117"/>
      <c r="Y413" s="117"/>
      <c r="CU413" s="1" t="s">
        <v>1174</v>
      </c>
      <c r="CX413" s="2">
        <f t="shared" si="46"/>
        <v>0</v>
      </c>
    </row>
    <row r="414" spans="2:102" ht="102">
      <c r="B414" s="49" t="s">
        <v>1175</v>
      </c>
      <c r="C414" s="14" t="s">
        <v>1176</v>
      </c>
      <c r="D414" s="95">
        <f t="shared" si="50"/>
        <v>1.922927864339597E-10</v>
      </c>
      <c r="E414" s="95"/>
      <c r="F414" s="96"/>
      <c r="G414" s="96"/>
      <c r="H414" s="39" t="s">
        <v>1851</v>
      </c>
      <c r="K414" s="116">
        <v>1.922927864339597E-10</v>
      </c>
      <c r="L414" s="120"/>
      <c r="M414" s="118"/>
      <c r="N414" s="116"/>
      <c r="O414" s="120"/>
      <c r="P414" s="118"/>
      <c r="Q414" s="117"/>
      <c r="R414" s="136"/>
      <c r="S414" s="40">
        <f>IF(OR(H414="T",H414="C"),T414,IF(H414="F",(V414/(1+(V414/T414)))*Q414^(1/(1+(LOG10(V414/T414)^2))),IF(H414="S1",T414+V414,IF(H414="S2",T414+(V414/(1+(V414/T417))),""))))</f>
        <v>1.922927864339597E-10</v>
      </c>
      <c r="T414" s="40">
        <f t="shared" si="48"/>
        <v>1.922927864339597E-10</v>
      </c>
      <c r="U414" s="117"/>
      <c r="V414" s="116"/>
      <c r="W414" s="116"/>
      <c r="X414" s="117"/>
      <c r="Y414" s="117"/>
      <c r="CU414" s="1" t="s">
        <v>1176</v>
      </c>
      <c r="CX414" s="2">
        <f t="shared" si="46"/>
        <v>0</v>
      </c>
    </row>
    <row r="415" spans="2:102" ht="89.25">
      <c r="B415" s="49" t="s">
        <v>1177</v>
      </c>
      <c r="C415" s="14" t="s">
        <v>1178</v>
      </c>
      <c r="D415" s="95">
        <f t="shared" si="50"/>
        <v>2.004504530661066E-10</v>
      </c>
      <c r="E415" s="95"/>
      <c r="F415" s="96"/>
      <c r="G415" s="96"/>
      <c r="H415" s="39" t="s">
        <v>1851</v>
      </c>
      <c r="K415" s="116">
        <v>2.004504530661066E-10</v>
      </c>
      <c r="L415" s="120"/>
      <c r="M415" s="118"/>
      <c r="N415" s="116"/>
      <c r="O415" s="120"/>
      <c r="P415" s="118"/>
      <c r="Q415" s="117"/>
      <c r="R415" s="136"/>
      <c r="S415" s="40">
        <f>IF(OR(H415="T",H415="C"),T415,IF(H415="F",(V415/(1+(V415/T415)))*Q415^(1/(1+(LOG10(V415/T415)^2))),IF(H415="S1",T415+V415,IF(H415="S2",T415+(V415/(1+(V415/T418))),""))))</f>
        <v>2.004504530661066E-10</v>
      </c>
      <c r="T415" s="40">
        <f>K415*EXP(-L415/T$4)*((T$4/300)^M415)</f>
        <v>2.004504530661066E-10</v>
      </c>
      <c r="U415" s="117"/>
      <c r="V415" s="116"/>
      <c r="W415" s="116"/>
      <c r="X415" s="117"/>
      <c r="Y415" s="117"/>
      <c r="CU415" s="1" t="s">
        <v>1178</v>
      </c>
      <c r="CX415" s="2">
        <f t="shared" si="46"/>
        <v>0</v>
      </c>
    </row>
    <row r="416" spans="2:102" ht="25.5">
      <c r="B416" s="49" t="s">
        <v>1179</v>
      </c>
      <c r="C416" s="14" t="s">
        <v>1180</v>
      </c>
      <c r="D416" s="95">
        <f t="shared" si="50"/>
        <v>7.329183086091272E-11</v>
      </c>
      <c r="E416" s="95">
        <f aca="true" t="shared" si="51" ref="E416:E426">IF(H416="C","",K416)</f>
        <v>8.1E-11</v>
      </c>
      <c r="F416" s="96">
        <f>IF(H416="C","",U416)</f>
        <v>0.059616</v>
      </c>
      <c r="G416" s="96">
        <f>IF(M416=0,"",M416)</f>
      </c>
      <c r="H416" s="39" t="s">
        <v>1859</v>
      </c>
      <c r="K416" s="116">
        <v>8.1E-11</v>
      </c>
      <c r="L416" s="120">
        <v>30</v>
      </c>
      <c r="M416" s="118"/>
      <c r="N416" s="116"/>
      <c r="O416" s="120"/>
      <c r="P416" s="118"/>
      <c r="Q416" s="117"/>
      <c r="R416" s="136"/>
      <c r="S416" s="40">
        <f>IF(OR(H416="T",H416="C"),T416,IF(H416="F",(V416/(1+(V416/T416)))*Q416^(1/(1+(LOG10(V416/T416)^2))),IF(H416="S1",T416+V416,IF(H416="S2",T416+(V416/(1+(V416/#REF!))),""))))</f>
        <v>7.329183086091272E-11</v>
      </c>
      <c r="T416" s="40">
        <f t="shared" si="48"/>
        <v>7.329183086091272E-11</v>
      </c>
      <c r="U416" s="15">
        <f>L416*Rfac</f>
        <v>0.059616</v>
      </c>
      <c r="V416" s="116"/>
      <c r="W416" s="116"/>
      <c r="X416" s="117"/>
      <c r="Y416" s="117"/>
      <c r="CU416" s="1" t="s">
        <v>1180</v>
      </c>
      <c r="CX416" s="2">
        <f t="shared" si="46"/>
        <v>0</v>
      </c>
    </row>
    <row r="417" spans="2:102" ht="15">
      <c r="B417" s="49" t="s">
        <v>1181</v>
      </c>
      <c r="C417" s="14" t="s">
        <v>1182</v>
      </c>
      <c r="D417" s="95">
        <f t="shared" si="50"/>
        <v>8E-11</v>
      </c>
      <c r="E417" s="95">
        <f t="shared" si="51"/>
      </c>
      <c r="F417" s="96">
        <f>IF(H417="C","",U417)</f>
      </c>
      <c r="G417" s="96">
        <f aca="true" t="shared" si="52" ref="G417:G426">IF(M417=0,"",M417)</f>
      </c>
      <c r="H417" s="39" t="s">
        <v>1851</v>
      </c>
      <c r="K417" s="116">
        <v>8E-11</v>
      </c>
      <c r="L417" s="120"/>
      <c r="M417" s="118"/>
      <c r="N417" s="116"/>
      <c r="O417" s="120"/>
      <c r="P417" s="118"/>
      <c r="Q417" s="117"/>
      <c r="R417" s="136"/>
      <c r="S417" s="40">
        <f>IF(OR(H417="T",H417="C"),T417,IF(H417="F",(V417/(1+(V417/T417)))*Q417^(1/(1+(LOG10(V417/T417)^2))),IF(H417="S1",T417+V417,IF(H417="S2",T417+(V417/(1+(V417/#REF!))),""))))</f>
        <v>8E-11</v>
      </c>
      <c r="T417" s="40">
        <f t="shared" si="48"/>
        <v>8E-11</v>
      </c>
      <c r="U417" s="15">
        <f aca="true" t="shared" si="53" ref="U417:U426">L417*Rfac</f>
        <v>0</v>
      </c>
      <c r="V417" s="116"/>
      <c r="W417" s="116"/>
      <c r="X417" s="117"/>
      <c r="Y417" s="117"/>
      <c r="CU417" s="1" t="s">
        <v>1182</v>
      </c>
      <c r="CX417" s="2">
        <f t="shared" si="46"/>
        <v>0</v>
      </c>
    </row>
    <row r="418" spans="2:102" ht="25.5">
      <c r="B418" s="49" t="s">
        <v>1183</v>
      </c>
      <c r="C418" s="14" t="s">
        <v>1184</v>
      </c>
      <c r="D418" s="95">
        <f t="shared" si="50"/>
        <v>6.2E-11</v>
      </c>
      <c r="E418" s="95">
        <f t="shared" si="51"/>
      </c>
      <c r="F418" s="96">
        <f>IF(H418="C","",U418)</f>
      </c>
      <c r="G418" s="96">
        <f t="shared" si="52"/>
      </c>
      <c r="H418" s="39" t="s">
        <v>1851</v>
      </c>
      <c r="K418" s="116">
        <v>6.2E-11</v>
      </c>
      <c r="L418" s="120"/>
      <c r="M418" s="118"/>
      <c r="N418" s="116"/>
      <c r="O418" s="120"/>
      <c r="P418" s="118"/>
      <c r="Q418" s="117"/>
      <c r="R418" s="136"/>
      <c r="S418" s="40">
        <f>IF(OR(H418="T",H418="C"),T418,IF(H418="F",(V418/(1+(V418/T418)))*Q418^(1/(1+(LOG10(V418/T418)^2))),IF(H418="S1",T418+V418,IF(H418="S2",T418+(V418/(1+(V418/#REF!))),""))))</f>
        <v>6.2E-11</v>
      </c>
      <c r="T418" s="40">
        <f t="shared" si="48"/>
        <v>6.2E-11</v>
      </c>
      <c r="U418" s="15">
        <f t="shared" si="53"/>
        <v>0</v>
      </c>
      <c r="V418" s="116"/>
      <c r="W418" s="116"/>
      <c r="X418" s="117"/>
      <c r="Y418" s="117"/>
      <c r="CU418" s="1" t="s">
        <v>1184</v>
      </c>
      <c r="CX418" s="2">
        <f t="shared" si="46"/>
        <v>0</v>
      </c>
    </row>
    <row r="419" spans="2:102" ht="15">
      <c r="B419" s="49" t="s">
        <v>1185</v>
      </c>
      <c r="C419" s="14" t="s">
        <v>1186</v>
      </c>
      <c r="D419" s="95">
        <f t="shared" si="50"/>
        <v>8E-11</v>
      </c>
      <c r="E419" s="95">
        <f t="shared" si="51"/>
      </c>
      <c r="F419" s="96">
        <f>IF(H419="C","",U419)</f>
      </c>
      <c r="G419" s="96">
        <f t="shared" si="52"/>
      </c>
      <c r="H419" s="39" t="s">
        <v>1851</v>
      </c>
      <c r="K419" s="116">
        <v>8E-11</v>
      </c>
      <c r="L419" s="120"/>
      <c r="M419" s="118"/>
      <c r="N419" s="116"/>
      <c r="O419" s="120"/>
      <c r="P419" s="118"/>
      <c r="Q419" s="117"/>
      <c r="R419" s="136"/>
      <c r="S419" s="40">
        <f>IF(OR(H419="T",H419="C"),T419,IF(H419="F",(V419/(1+(V419/T419)))*Q419^(1/(1+(LOG10(V419/T419)^2))),IF(H419="S1",T419+V419,IF(H419="S2",T419+(V419/(1+(V419/#REF!))),""))))</f>
        <v>8E-11</v>
      </c>
      <c r="T419" s="40">
        <f t="shared" si="48"/>
        <v>8E-11</v>
      </c>
      <c r="U419" s="15">
        <f t="shared" si="53"/>
        <v>0</v>
      </c>
      <c r="V419" s="116"/>
      <c r="W419" s="116"/>
      <c r="X419" s="117"/>
      <c r="Y419" s="117"/>
      <c r="CU419" s="1" t="s">
        <v>1186</v>
      </c>
      <c r="CX419" s="2">
        <f t="shared" si="46"/>
        <v>0</v>
      </c>
    </row>
    <row r="420" spans="2:102" ht="63.75">
      <c r="B420" s="49" t="s">
        <v>1187</v>
      </c>
      <c r="C420" s="14" t="s">
        <v>1281</v>
      </c>
      <c r="D420" s="95">
        <f t="shared" si="50"/>
        <v>1.66E-10</v>
      </c>
      <c r="E420" s="95">
        <f t="shared" si="51"/>
      </c>
      <c r="F420" s="96">
        <f>IF(H420="C","",U420)</f>
      </c>
      <c r="G420" s="96">
        <f t="shared" si="52"/>
      </c>
      <c r="H420" s="39" t="s">
        <v>1851</v>
      </c>
      <c r="K420" s="116">
        <v>1.66E-10</v>
      </c>
      <c r="L420" s="120"/>
      <c r="M420" s="118"/>
      <c r="N420" s="116"/>
      <c r="O420" s="120"/>
      <c r="P420" s="118"/>
      <c r="Q420" s="117"/>
      <c r="R420" s="136"/>
      <c r="S420" s="40">
        <f>IF(OR(H420="T",H420="C"),T420,IF(H420="F",(V420/(1+(V420/T420)))*Q420^(1/(1+(LOG10(V420/T420)^2))),IF(H420="S1",T420+V420,IF(H420="S2",T420+(V420/(1+(V420/#REF!))),""))))</f>
        <v>1.66E-10</v>
      </c>
      <c r="T420" s="40">
        <f t="shared" si="48"/>
        <v>1.66E-10</v>
      </c>
      <c r="U420" s="15">
        <f t="shared" si="53"/>
        <v>0</v>
      </c>
      <c r="V420" s="116"/>
      <c r="W420" s="116"/>
      <c r="X420" s="117"/>
      <c r="Y420" s="117"/>
      <c r="CU420" s="1" t="s">
        <v>1281</v>
      </c>
      <c r="CX420" s="2">
        <f t="shared" si="46"/>
        <v>0</v>
      </c>
    </row>
    <row r="421" spans="2:102" ht="63.75">
      <c r="B421" s="49" t="s">
        <v>1282</v>
      </c>
      <c r="C421" s="14" t="s">
        <v>1283</v>
      </c>
      <c r="D421" s="95">
        <f t="shared" si="50"/>
        <v>3E-10</v>
      </c>
      <c r="E421" s="95">
        <f t="shared" si="51"/>
      </c>
      <c r="F421" s="96"/>
      <c r="G421" s="96"/>
      <c r="H421" s="39" t="s">
        <v>1851</v>
      </c>
      <c r="K421" s="116">
        <v>3E-10</v>
      </c>
      <c r="L421" s="120"/>
      <c r="M421" s="118"/>
      <c r="N421" s="116"/>
      <c r="O421" s="120"/>
      <c r="P421" s="118"/>
      <c r="Q421" s="117"/>
      <c r="R421" s="136"/>
      <c r="S421" s="40">
        <f>IF(OR(H421="T",H421="C"),T421,IF(H421="F",(V421/(1+(V421/T421)))*Q421^(1/(1+(LOG10(V421/T421)^2))),IF(H421="S1",T421+V421,IF(H421="S2",T421+(V421/(1+(V421/#REF!))),""))))</f>
        <v>3E-10</v>
      </c>
      <c r="T421" s="40">
        <f t="shared" si="48"/>
        <v>3E-10</v>
      </c>
      <c r="U421" s="15"/>
      <c r="V421" s="116"/>
      <c r="W421" s="116"/>
      <c r="X421" s="117"/>
      <c r="Y421" s="117"/>
      <c r="CU421" s="1" t="s">
        <v>1283</v>
      </c>
      <c r="CX421" s="2">
        <f t="shared" si="46"/>
        <v>0</v>
      </c>
    </row>
    <row r="422" spans="2:102" ht="89.25">
      <c r="B422" s="49" t="s">
        <v>1284</v>
      </c>
      <c r="C422" s="14" t="s">
        <v>1052</v>
      </c>
      <c r="D422" s="95">
        <f t="shared" si="50"/>
        <v>4.29E-10</v>
      </c>
      <c r="E422" s="95">
        <f t="shared" si="51"/>
      </c>
      <c r="F422" s="96"/>
      <c r="G422" s="96"/>
      <c r="H422" s="39" t="s">
        <v>1851</v>
      </c>
      <c r="K422" s="116">
        <v>4.29E-10</v>
      </c>
      <c r="L422" s="120"/>
      <c r="M422" s="118"/>
      <c r="N422" s="116"/>
      <c r="O422" s="120"/>
      <c r="P422" s="118"/>
      <c r="Q422" s="117"/>
      <c r="R422" s="136"/>
      <c r="S422" s="40">
        <f>IF(OR(H422="T",H422="C"),T422,IF(H422="F",(V422/(1+(V422/T422)))*Q422^(1/(1+(LOG10(V422/T422)^2))),IF(H422="S1",T422+V422,IF(H422="S2",T422+(V422/(1+(V422/#REF!))),""))))</f>
        <v>4.29E-10</v>
      </c>
      <c r="T422" s="40">
        <f t="shared" si="48"/>
        <v>4.29E-10</v>
      </c>
      <c r="U422" s="15"/>
      <c r="V422" s="116"/>
      <c r="W422" s="116"/>
      <c r="X422" s="117"/>
      <c r="Y422" s="117"/>
      <c r="CU422" s="1" t="s">
        <v>1052</v>
      </c>
      <c r="CX422" s="2">
        <f t="shared" si="46"/>
        <v>0</v>
      </c>
    </row>
    <row r="423" spans="2:102" ht="63.75">
      <c r="B423" s="49" t="s">
        <v>603</v>
      </c>
      <c r="C423" s="14" t="s">
        <v>1020</v>
      </c>
      <c r="D423" s="95">
        <f>IF(OR(H423="T",H423="C"),S423,H423)</f>
        <v>2.940314679093E-10</v>
      </c>
      <c r="E423" s="95">
        <f>IF(H423="C","",K423)</f>
      </c>
      <c r="F423" s="96">
        <f>IF(H423="C","",U423)</f>
      </c>
      <c r="G423" s="99"/>
      <c r="H423" s="39" t="s">
        <v>1851</v>
      </c>
      <c r="K423" s="116">
        <v>2.940314679093E-10</v>
      </c>
      <c r="L423" s="120"/>
      <c r="M423" s="118"/>
      <c r="N423" s="116"/>
      <c r="O423" s="120"/>
      <c r="P423" s="118"/>
      <c r="Q423" s="117"/>
      <c r="R423" s="136"/>
      <c r="S423" s="40">
        <f>IF(OR(H423="T",H423="C"),T423,IF(H423="F",(V423/(1+(V423/T423)))*Q423^(1/(1+(LOG10(V423/T423)^2))),IF(H423="S1",T423+V423,IF(H423="S2",T423+(V423/(1+(V423/#REF!))),""))))</f>
        <v>2.940314679093E-10</v>
      </c>
      <c r="T423" s="40">
        <f>K423*EXP(-L423/T$4)*((T$4/300)^M423)</f>
        <v>2.940314679093E-10</v>
      </c>
      <c r="U423" s="15">
        <f>L423*Rfac</f>
        <v>0</v>
      </c>
      <c r="V423" s="40"/>
      <c r="W423" s="40"/>
      <c r="X423" s="15"/>
      <c r="Y423" s="15"/>
      <c r="CU423" s="1" t="s">
        <v>1020</v>
      </c>
      <c r="CX423" s="2">
        <f t="shared" si="46"/>
        <v>0</v>
      </c>
    </row>
    <row r="424" spans="2:102" ht="63.75">
      <c r="B424" s="49" t="s">
        <v>1285</v>
      </c>
      <c r="C424" s="14" t="s">
        <v>1286</v>
      </c>
      <c r="D424" s="95">
        <f t="shared" si="50"/>
        <v>3.85E-10</v>
      </c>
      <c r="E424" s="95">
        <f t="shared" si="51"/>
      </c>
      <c r="F424" s="96">
        <f>IF(H424="C","",U424)</f>
      </c>
      <c r="G424" s="96">
        <f t="shared" si="52"/>
      </c>
      <c r="H424" s="39" t="s">
        <v>1851</v>
      </c>
      <c r="K424" s="116">
        <v>3.85E-10</v>
      </c>
      <c r="L424" s="120"/>
      <c r="M424" s="118"/>
      <c r="N424" s="116"/>
      <c r="O424" s="120"/>
      <c r="P424" s="118"/>
      <c r="Q424" s="117"/>
      <c r="R424" s="136"/>
      <c r="S424" s="40">
        <f>IF(OR(H424="T",H424="C"),T424,IF(H424="F",(V424/(1+(V424/T424)))*Q424^(1/(1+(LOG10(V424/T424)^2))),IF(H424="S1",T424+V424,IF(H424="S2",T424+(V424/(1+(V424/#REF!))),""))))</f>
        <v>3.85E-10</v>
      </c>
      <c r="T424" s="40">
        <f t="shared" si="48"/>
        <v>3.85E-10</v>
      </c>
      <c r="U424" s="15">
        <f t="shared" si="53"/>
        <v>0</v>
      </c>
      <c r="V424" s="116"/>
      <c r="W424" s="116"/>
      <c r="X424" s="117"/>
      <c r="Y424" s="117"/>
      <c r="CU424" s="1" t="s">
        <v>1286</v>
      </c>
      <c r="CX424" s="2">
        <f t="shared" si="46"/>
        <v>0</v>
      </c>
    </row>
    <row r="425" spans="2:102" ht="38.25">
      <c r="B425" s="49" t="s">
        <v>1287</v>
      </c>
      <c r="C425" s="14" t="s">
        <v>1288</v>
      </c>
      <c r="D425" s="95">
        <f t="shared" si="50"/>
        <v>2.32E-10</v>
      </c>
      <c r="E425" s="95">
        <f t="shared" si="51"/>
      </c>
      <c r="F425" s="96">
        <f>IF(H425="C","",U425)</f>
      </c>
      <c r="G425" s="96">
        <f t="shared" si="52"/>
      </c>
      <c r="H425" s="39" t="s">
        <v>1851</v>
      </c>
      <c r="K425" s="116">
        <v>2.32E-10</v>
      </c>
      <c r="L425" s="120"/>
      <c r="M425" s="118"/>
      <c r="N425" s="116"/>
      <c r="O425" s="120"/>
      <c r="P425" s="118"/>
      <c r="Q425" s="117"/>
      <c r="R425" s="136"/>
      <c r="S425" s="40">
        <f>IF(OR(H425="T",H425="C"),T425,IF(H425="F",(V425/(1+(V425/T425)))*Q425^(1/(1+(LOG10(V425/T425)^2))),IF(H425="S1",T425+V425,IF(H425="S2",T425+(V425/(1+(V425/#REF!))),""))))</f>
        <v>2.32E-10</v>
      </c>
      <c r="T425" s="40">
        <f t="shared" si="48"/>
        <v>2.32E-10</v>
      </c>
      <c r="U425" s="15">
        <f t="shared" si="53"/>
        <v>0</v>
      </c>
      <c r="V425" s="116"/>
      <c r="W425" s="116"/>
      <c r="X425" s="117"/>
      <c r="Y425" s="117"/>
      <c r="CU425" s="1" t="s">
        <v>1288</v>
      </c>
      <c r="CX425" s="2">
        <f t="shared" si="46"/>
        <v>0</v>
      </c>
    </row>
    <row r="426" spans="2:102" ht="89.25">
      <c r="B426" s="49" t="s">
        <v>1289</v>
      </c>
      <c r="C426" s="14" t="s">
        <v>1290</v>
      </c>
      <c r="D426" s="95">
        <f t="shared" si="50"/>
        <v>4.12E-10</v>
      </c>
      <c r="E426" s="95">
        <f t="shared" si="51"/>
      </c>
      <c r="F426" s="96">
        <f>IF(H426="C","",U426)</f>
      </c>
      <c r="G426" s="96">
        <f t="shared" si="52"/>
      </c>
      <c r="H426" s="39" t="s">
        <v>1851</v>
      </c>
      <c r="K426" s="116">
        <v>4.12E-10</v>
      </c>
      <c r="L426" s="120"/>
      <c r="M426" s="118"/>
      <c r="N426" s="116"/>
      <c r="O426" s="120"/>
      <c r="P426" s="118"/>
      <c r="Q426" s="117"/>
      <c r="R426" s="136"/>
      <c r="S426" s="40">
        <f>IF(OR(H426="T",H426="C"),T426,IF(H426="F",(V426/(1+(V426/T426)))*Q426^(1/(1+(LOG10(V426/T426)^2))),IF(H426="S1",T426+V426,IF(H426="S2",T426+(V426/(1+(V426/#REF!))),""))))</f>
        <v>4.12E-10</v>
      </c>
      <c r="T426" s="40">
        <f t="shared" si="48"/>
        <v>4.12E-10</v>
      </c>
      <c r="U426" s="15">
        <f t="shared" si="53"/>
        <v>0</v>
      </c>
      <c r="V426" s="116"/>
      <c r="W426" s="116"/>
      <c r="X426" s="117"/>
      <c r="Y426" s="117"/>
      <c r="CU426" s="1" t="s">
        <v>1290</v>
      </c>
      <c r="CX426" s="2">
        <f t="shared" si="46"/>
        <v>0</v>
      </c>
    </row>
    <row r="427" spans="1:102" ht="15">
      <c r="A427" s="13" t="s">
        <v>1291</v>
      </c>
      <c r="D427" s="95"/>
      <c r="E427" s="95"/>
      <c r="F427" s="96"/>
      <c r="G427" s="96"/>
      <c r="J427" s="38"/>
      <c r="K427" s="109"/>
      <c r="L427" s="110"/>
      <c r="M427" s="111"/>
      <c r="N427" s="112"/>
      <c r="O427" s="111"/>
      <c r="P427" s="113"/>
      <c r="Q427" s="111"/>
      <c r="S427" s="40">
        <f>IF(OR(H427="T",H427="C"),T427,IF(H427="F",(V427/(1+(V427/T427)))*Q427^(1/(1+((LOG10(V427/T427)/R427)^2))),IF(H427="S1",T427+V427,IF(H427="S2",T427+(V427/(1+(V427/T440))),""))))</f>
      </c>
      <c r="T427" s="109"/>
      <c r="U427" s="111"/>
      <c r="V427" s="112"/>
      <c r="W427" s="112"/>
      <c r="X427" s="111"/>
      <c r="Y427" s="111"/>
      <c r="CX427" s="2">
        <f t="shared" si="46"/>
        <v>0</v>
      </c>
    </row>
    <row r="428" spans="2:102" ht="25.5">
      <c r="B428" s="49" t="s">
        <v>1292</v>
      </c>
      <c r="C428" s="14" t="s">
        <v>1293</v>
      </c>
      <c r="D428" s="98" t="str">
        <f>IF(H428="P",CONCATENATE("Phot Set= ",I428,IF(J428=0,"",CONCATENATE(", qy= ",TEXT(J428,"0.0e+0")))),H428)</f>
        <v>Phot Set= CLCCHO</v>
      </c>
      <c r="E428" s="98"/>
      <c r="F428" s="98"/>
      <c r="G428" s="99"/>
      <c r="H428" s="39" t="s">
        <v>1856</v>
      </c>
      <c r="I428" s="49" t="s">
        <v>1809</v>
      </c>
      <c r="K428" s="116"/>
      <c r="L428" s="120"/>
      <c r="M428" s="118"/>
      <c r="N428" s="116"/>
      <c r="O428" s="120"/>
      <c r="P428" s="118"/>
      <c r="Q428" s="117"/>
      <c r="R428" s="117"/>
      <c r="S428" s="116"/>
      <c r="T428" s="116"/>
      <c r="U428" s="117"/>
      <c r="V428" s="116"/>
      <c r="W428" s="116"/>
      <c r="X428" s="117"/>
      <c r="Y428" s="117"/>
      <c r="CU428" s="1" t="s">
        <v>1293</v>
      </c>
      <c r="CX428" s="2">
        <f t="shared" si="46"/>
        <v>0</v>
      </c>
    </row>
    <row r="429" spans="2:102" ht="15">
      <c r="B429" s="49" t="s">
        <v>1294</v>
      </c>
      <c r="C429" s="14" t="s">
        <v>1295</v>
      </c>
      <c r="D429" s="95">
        <f>IF(OR(H429="T",H429="C"),S429,H429)</f>
        <v>3.1E-12</v>
      </c>
      <c r="E429" s="98"/>
      <c r="F429" s="98"/>
      <c r="G429" s="99"/>
      <c r="H429" s="39" t="s">
        <v>1851</v>
      </c>
      <c r="K429" s="116">
        <v>3.1E-12</v>
      </c>
      <c r="L429" s="120"/>
      <c r="M429" s="118"/>
      <c r="N429" s="116"/>
      <c r="O429" s="120"/>
      <c r="P429" s="118"/>
      <c r="Q429" s="117"/>
      <c r="R429" s="117"/>
      <c r="S429" s="40">
        <f>IF(OR(H429="T",H429="C"),T429,IF(H429="F",(V429/(1+(V429/T429)))*Q429^(1/(1+(LOG10(V429/T429)^2))),IF(H429="S1",T429+V429,"")))</f>
        <v>3.1E-12</v>
      </c>
      <c r="T429" s="40">
        <f>K429*EXP(-L429/T$4)*((T$4/300)^M429)</f>
        <v>3.1E-12</v>
      </c>
      <c r="U429" s="117"/>
      <c r="V429" s="116"/>
      <c r="W429" s="116"/>
      <c r="X429" s="117"/>
      <c r="Y429" s="117"/>
      <c r="CU429" s="1" t="s">
        <v>1295</v>
      </c>
      <c r="CX429" s="2">
        <f t="shared" si="46"/>
        <v>0</v>
      </c>
    </row>
    <row r="430" spans="2:102" ht="15">
      <c r="B430" s="49" t="s">
        <v>1296</v>
      </c>
      <c r="C430" s="14" t="s">
        <v>1297</v>
      </c>
      <c r="D430" s="95">
        <f>IF(OR(H430="T",H430="C"),S430,H430)</f>
        <v>1.29E-11</v>
      </c>
      <c r="E430" s="98"/>
      <c r="F430" s="98"/>
      <c r="G430" s="99"/>
      <c r="H430" s="39" t="s">
        <v>1851</v>
      </c>
      <c r="K430" s="116">
        <v>1.29E-11</v>
      </c>
      <c r="L430" s="120"/>
      <c r="M430" s="118"/>
      <c r="N430" s="116"/>
      <c r="O430" s="120"/>
      <c r="P430" s="118"/>
      <c r="Q430" s="117"/>
      <c r="R430" s="117"/>
      <c r="S430" s="40">
        <f>IF(OR(H430="T",H430="C"),T430,IF(H430="F",(V430/(1+(V430/T430)))*Q430^(1/(1+(LOG10(V430/T430)^2))),IF(H430="S1",T430+V430,"")))</f>
        <v>1.29E-11</v>
      </c>
      <c r="T430" s="40">
        <f>K430*EXP(-L430/T$4)*((T$4/300)^M430)</f>
        <v>1.29E-11</v>
      </c>
      <c r="U430" s="117"/>
      <c r="V430" s="116"/>
      <c r="W430" s="116"/>
      <c r="X430" s="117"/>
      <c r="Y430" s="117"/>
      <c r="CU430" s="1" t="s">
        <v>1297</v>
      </c>
      <c r="CX430" s="2">
        <f t="shared" si="46"/>
        <v>0</v>
      </c>
    </row>
    <row r="431" spans="2:102" ht="25.5">
      <c r="B431" s="49" t="s">
        <v>1298</v>
      </c>
      <c r="C431" s="14" t="s">
        <v>1299</v>
      </c>
      <c r="D431" s="98" t="str">
        <f>IF(H431="P",CONCATENATE("Phot Set= ",I431,IF(J431=0,"",CONCATENATE(", qy= ",TEXT(J431,"0.00")))),H431)</f>
        <v>Phot Set= CLACET, qy= 0.50</v>
      </c>
      <c r="E431" s="98"/>
      <c r="F431" s="98"/>
      <c r="G431" s="99"/>
      <c r="H431" s="39" t="s">
        <v>1856</v>
      </c>
      <c r="I431" s="49" t="s">
        <v>1811</v>
      </c>
      <c r="J431" s="18">
        <v>0.5</v>
      </c>
      <c r="K431" s="116"/>
      <c r="L431" s="120"/>
      <c r="M431" s="118"/>
      <c r="N431" s="116"/>
      <c r="O431" s="120"/>
      <c r="P431" s="118"/>
      <c r="Q431" s="117"/>
      <c r="R431" s="117"/>
      <c r="S431" s="40"/>
      <c r="T431" s="40"/>
      <c r="U431" s="117"/>
      <c r="V431" s="116"/>
      <c r="W431" s="116"/>
      <c r="X431" s="117"/>
      <c r="Y431" s="117"/>
      <c r="CU431" s="1" t="s">
        <v>1299</v>
      </c>
      <c r="CX431" s="2">
        <f t="shared" si="46"/>
        <v>0</v>
      </c>
    </row>
    <row r="432" spans="1:102" ht="15">
      <c r="A432" s="13" t="s">
        <v>1300</v>
      </c>
      <c r="D432" s="98"/>
      <c r="E432" s="98"/>
      <c r="F432" s="98"/>
      <c r="G432" s="99"/>
      <c r="K432" s="116"/>
      <c r="L432" s="120"/>
      <c r="M432" s="118"/>
      <c r="N432" s="116"/>
      <c r="O432" s="120"/>
      <c r="P432" s="118"/>
      <c r="Q432" s="117"/>
      <c r="R432" s="117"/>
      <c r="S432" s="40"/>
      <c r="T432" s="40"/>
      <c r="U432" s="117"/>
      <c r="V432" s="116"/>
      <c r="W432" s="116"/>
      <c r="X432" s="117"/>
      <c r="Y432" s="117"/>
      <c r="CX432" s="2">
        <f t="shared" si="46"/>
        <v>0</v>
      </c>
    </row>
    <row r="433" spans="2:102" ht="15">
      <c r="B433" s="49" t="s">
        <v>1301</v>
      </c>
      <c r="C433" s="14" t="s">
        <v>1302</v>
      </c>
      <c r="D433" s="138" t="str">
        <f aca="true" t="shared" si="54" ref="D433:D438">IF(H433="Q",CONCATENATE("k is variable parameter: ",I433),H433)</f>
        <v>k is variable parameter: RO2RO</v>
      </c>
      <c r="E433" s="98"/>
      <c r="F433" s="98"/>
      <c r="G433" s="98"/>
      <c r="H433" s="39" t="s">
        <v>164</v>
      </c>
      <c r="I433" s="49" t="s">
        <v>165</v>
      </c>
      <c r="K433" s="116"/>
      <c r="L433" s="120"/>
      <c r="M433" s="117"/>
      <c r="N433" s="116"/>
      <c r="O433" s="117"/>
      <c r="P433" s="118"/>
      <c r="Q433" s="117"/>
      <c r="S433" s="40"/>
      <c r="T433" s="116"/>
      <c r="U433" s="117"/>
      <c r="V433" s="116"/>
      <c r="W433" s="116"/>
      <c r="X433" s="117"/>
      <c r="Y433" s="117"/>
      <c r="CU433" s="1" t="s">
        <v>1302</v>
      </c>
      <c r="CX433" s="2">
        <f t="shared" si="46"/>
        <v>0</v>
      </c>
    </row>
    <row r="434" spans="2:102" ht="15">
      <c r="B434" s="49" t="s">
        <v>1303</v>
      </c>
      <c r="C434" s="14" t="s">
        <v>1304</v>
      </c>
      <c r="D434" s="138" t="str">
        <f t="shared" si="54"/>
        <v>k is variable parameter: RO2XRO</v>
      </c>
      <c r="E434" s="98"/>
      <c r="F434" s="98"/>
      <c r="G434" s="98"/>
      <c r="H434" s="39" t="s">
        <v>164</v>
      </c>
      <c r="I434" s="49" t="s">
        <v>168</v>
      </c>
      <c r="K434" s="116"/>
      <c r="L434" s="120"/>
      <c r="M434" s="117"/>
      <c r="N434" s="116"/>
      <c r="O434" s="117"/>
      <c r="P434" s="118"/>
      <c r="Q434" s="117"/>
      <c r="S434" s="40"/>
      <c r="T434" s="116"/>
      <c r="U434" s="117"/>
      <c r="V434" s="116"/>
      <c r="W434" s="116"/>
      <c r="X434" s="117"/>
      <c r="Y434" s="117"/>
      <c r="CU434" s="1" t="s">
        <v>1304</v>
      </c>
      <c r="CX434" s="2">
        <f t="shared" si="46"/>
        <v>0</v>
      </c>
    </row>
    <row r="435" spans="2:102" ht="15">
      <c r="B435" s="49" t="s">
        <v>1305</v>
      </c>
      <c r="C435" s="14" t="s">
        <v>1306</v>
      </c>
      <c r="D435" s="138" t="str">
        <f t="shared" si="54"/>
        <v>k is variable parameter: RO2RO</v>
      </c>
      <c r="E435" s="98"/>
      <c r="F435" s="98"/>
      <c r="G435" s="98"/>
      <c r="H435" s="39" t="s">
        <v>164</v>
      </c>
      <c r="I435" s="49" t="s">
        <v>165</v>
      </c>
      <c r="K435" s="116"/>
      <c r="L435" s="120"/>
      <c r="M435" s="117"/>
      <c r="N435" s="116"/>
      <c r="O435" s="117"/>
      <c r="P435" s="118"/>
      <c r="Q435" s="117"/>
      <c r="S435" s="40"/>
      <c r="T435" s="116"/>
      <c r="U435" s="117"/>
      <c r="V435" s="116"/>
      <c r="W435" s="116"/>
      <c r="X435" s="117"/>
      <c r="Y435" s="117"/>
      <c r="CU435" s="1" t="s">
        <v>1306</v>
      </c>
      <c r="CX435" s="2">
        <f t="shared" si="46"/>
        <v>0</v>
      </c>
    </row>
    <row r="436" spans="2:102" ht="15">
      <c r="B436" s="49" t="s">
        <v>1307</v>
      </c>
      <c r="C436" s="14" t="s">
        <v>1308</v>
      </c>
      <c r="D436" s="138" t="str">
        <f t="shared" si="54"/>
        <v>k is variable parameter: RO2XRO</v>
      </c>
      <c r="E436" s="98"/>
      <c r="F436" s="98"/>
      <c r="G436" s="98"/>
      <c r="H436" s="39" t="s">
        <v>164</v>
      </c>
      <c r="I436" s="49" t="s">
        <v>168</v>
      </c>
      <c r="K436" s="116"/>
      <c r="L436" s="120"/>
      <c r="M436" s="117"/>
      <c r="N436" s="116"/>
      <c r="O436" s="117"/>
      <c r="P436" s="118"/>
      <c r="Q436" s="117"/>
      <c r="S436" s="40"/>
      <c r="T436" s="116"/>
      <c r="U436" s="117"/>
      <c r="V436" s="116"/>
      <c r="W436" s="116"/>
      <c r="X436" s="117"/>
      <c r="Y436" s="117"/>
      <c r="CU436" s="1" t="s">
        <v>1308</v>
      </c>
      <c r="CX436" s="2">
        <f t="shared" si="46"/>
        <v>0</v>
      </c>
    </row>
    <row r="437" spans="2:102" ht="15">
      <c r="B437" s="49" t="s">
        <v>1309</v>
      </c>
      <c r="C437" s="14" t="s">
        <v>1310</v>
      </c>
      <c r="D437" s="138" t="str">
        <f t="shared" si="54"/>
        <v>k is variable parameter: RO2RO</v>
      </c>
      <c r="E437" s="98"/>
      <c r="F437" s="98"/>
      <c r="G437" s="98"/>
      <c r="H437" s="39" t="s">
        <v>164</v>
      </c>
      <c r="I437" s="49" t="s">
        <v>165</v>
      </c>
      <c r="K437" s="116"/>
      <c r="L437" s="120"/>
      <c r="M437" s="117"/>
      <c r="N437" s="116"/>
      <c r="O437" s="117"/>
      <c r="P437" s="118"/>
      <c r="Q437" s="117"/>
      <c r="S437" s="40"/>
      <c r="T437" s="116"/>
      <c r="U437" s="117"/>
      <c r="V437" s="116"/>
      <c r="W437" s="116"/>
      <c r="X437" s="117"/>
      <c r="Y437" s="117"/>
      <c r="CU437" s="1" t="s">
        <v>1310</v>
      </c>
      <c r="CX437" s="2">
        <f t="shared" si="46"/>
        <v>0</v>
      </c>
    </row>
    <row r="438" spans="2:102" ht="15">
      <c r="B438" s="49" t="s">
        <v>1311</v>
      </c>
      <c r="C438" s="14" t="s">
        <v>1312</v>
      </c>
      <c r="D438" s="138" t="str">
        <f t="shared" si="54"/>
        <v>k is variable parameter: RO2XRO</v>
      </c>
      <c r="E438" s="98"/>
      <c r="F438" s="98"/>
      <c r="G438" s="98"/>
      <c r="H438" s="39" t="s">
        <v>164</v>
      </c>
      <c r="I438" s="49" t="s">
        <v>168</v>
      </c>
      <c r="K438" s="116"/>
      <c r="L438" s="120"/>
      <c r="M438" s="117"/>
      <c r="N438" s="116"/>
      <c r="O438" s="117"/>
      <c r="P438" s="118"/>
      <c r="Q438" s="117"/>
      <c r="S438" s="40"/>
      <c r="T438" s="116"/>
      <c r="U438" s="117"/>
      <c r="V438" s="116"/>
      <c r="W438" s="116"/>
      <c r="X438" s="117"/>
      <c r="Y438" s="117"/>
      <c r="CU438" s="1" t="s">
        <v>1312</v>
      </c>
      <c r="CX438" s="2">
        <f t="shared" si="46"/>
        <v>0</v>
      </c>
    </row>
    <row r="439" spans="1:102" ht="15">
      <c r="A439" s="13" t="s">
        <v>1352</v>
      </c>
      <c r="D439" s="95"/>
      <c r="E439" s="95"/>
      <c r="F439" s="96"/>
      <c r="G439" s="96"/>
      <c r="J439" s="38"/>
      <c r="K439" s="109"/>
      <c r="L439" s="110"/>
      <c r="M439" s="111"/>
      <c r="N439" s="112"/>
      <c r="O439" s="111"/>
      <c r="P439" s="113"/>
      <c r="Q439" s="111"/>
      <c r="S439" s="40">
        <f>IF(OR(H439="T",H439="C"),T439,IF(H439="F",(V439/(1+(V439/T439)))*Q439^(1/(1+((LOG10(V439/T439)/R439)^2))),IF(H439="S1",T439+V439,IF(H439="S2",T439+(V439/(1+(V439/#REF!))),""))))</f>
      </c>
      <c r="T439" s="109"/>
      <c r="U439" s="111"/>
      <c r="V439" s="112"/>
      <c r="W439" s="112"/>
      <c r="X439" s="111"/>
      <c r="Y439" s="111"/>
      <c r="CX439" s="2">
        <f t="shared" si="46"/>
        <v>0</v>
      </c>
    </row>
    <row r="440" spans="2:102" ht="15">
      <c r="B440" s="49" t="s">
        <v>1353</v>
      </c>
      <c r="C440" s="14" t="s">
        <v>1354</v>
      </c>
      <c r="D440" s="95">
        <f>IF(OR(H440="T",H440="C"),S440,H440)</f>
        <v>1.0240780807898633E-13</v>
      </c>
      <c r="E440" s="95">
        <f>IF(H440="C","",K440)</f>
        <v>7.3E-12</v>
      </c>
      <c r="F440" s="96">
        <f>IF(H440="C","",U440)</f>
        <v>2.543616</v>
      </c>
      <c r="G440" s="96">
        <f>IF(M440=0,"",M440)</f>
      </c>
      <c r="H440" s="39" t="s">
        <v>1859</v>
      </c>
      <c r="K440" s="116">
        <v>7.3E-12</v>
      </c>
      <c r="L440" s="120">
        <v>1280</v>
      </c>
      <c r="M440" s="118"/>
      <c r="N440" s="116"/>
      <c r="O440" s="120"/>
      <c r="P440" s="118"/>
      <c r="Q440" s="117"/>
      <c r="R440" s="136"/>
      <c r="S440" s="40">
        <f>IF(OR(H440="T",H440="C"),T440,IF(H440="F",(V440/(1+(V440/T440)))*Q440^(1/(1+(LOG10(V440/T440)^2))),IF(H440="S1",T440+V440,"")))</f>
        <v>1.0240780807898633E-13</v>
      </c>
      <c r="T440" s="40">
        <f aca="true" t="shared" si="55" ref="T440:T446">K440*EXP(-L440/T$4)*((T$4/300)^M440)</f>
        <v>1.0240780807898633E-13</v>
      </c>
      <c r="U440" s="15">
        <f aca="true" t="shared" si="56" ref="U440:U446">L440*Rfac</f>
        <v>2.543616</v>
      </c>
      <c r="V440" s="116"/>
      <c r="W440" s="116"/>
      <c r="X440" s="117"/>
      <c r="Y440" s="117"/>
      <c r="CU440" s="1" t="s">
        <v>1354</v>
      </c>
      <c r="CX440" s="2">
        <f t="shared" si="46"/>
        <v>0</v>
      </c>
    </row>
    <row r="441" spans="2:102" ht="25.5">
      <c r="B441" s="49" t="s">
        <v>1355</v>
      </c>
      <c r="C441" s="14" t="s">
        <v>1021</v>
      </c>
      <c r="D441" s="95">
        <f>S441</f>
        <v>1.043376840437224E-10</v>
      </c>
      <c r="E441" s="103" t="str">
        <f>IF(H441="F","Falloff, F="&amp;TEXT(Q441,"0.00")&amp;", N="&amp;TEXT(R441,"0.00"),H441)</f>
        <v>Falloff, F=0.60, N=1.00</v>
      </c>
      <c r="F441" s="103"/>
      <c r="G441" s="99"/>
      <c r="H441" s="39" t="s">
        <v>1843</v>
      </c>
      <c r="K441" s="116">
        <v>3.1E-10</v>
      </c>
      <c r="L441" s="120"/>
      <c r="M441" s="118">
        <v>-1</v>
      </c>
      <c r="N441" s="116">
        <v>1.6E-29</v>
      </c>
      <c r="O441" s="120">
        <v>0</v>
      </c>
      <c r="P441" s="118">
        <v>-3.3</v>
      </c>
      <c r="Q441" s="117">
        <v>0.6</v>
      </c>
      <c r="R441" s="136">
        <v>1</v>
      </c>
      <c r="S441" s="40">
        <f>IF(OR(H441="T",H441="C"),T441,IF(H441="F",(V441/(1+(V441/T441)))*Q441^(1/(1+(LOG10(V441/T441)^2))),IF(H441="S1",T441+V441,IF(H441="S2",T441+(V441/(1+(V441/#REF!))),""))))</f>
        <v>1.043376840437224E-10</v>
      </c>
      <c r="T441" s="40">
        <f t="shared" si="55"/>
        <v>3.1E-10</v>
      </c>
      <c r="U441" s="15">
        <f t="shared" si="56"/>
        <v>0</v>
      </c>
      <c r="V441" s="40">
        <f>W441*V$3*7.3395E+21/T$4</f>
        <v>3.9144000000000005E-10</v>
      </c>
      <c r="W441" s="40">
        <f>N441*EXP(-O441/T$4)*(T$4/300)^P441</f>
        <v>1.6E-29</v>
      </c>
      <c r="X441" s="15">
        <f>O441*Rfac</f>
        <v>0</v>
      </c>
      <c r="Y441" s="15"/>
      <c r="CU441" s="1" t="s">
        <v>1021</v>
      </c>
      <c r="CX441" s="2">
        <f t="shared" si="46"/>
        <v>0</v>
      </c>
    </row>
    <row r="442" spans="2:102" ht="51">
      <c r="B442" s="49" t="s">
        <v>616</v>
      </c>
      <c r="C442" s="14" t="s">
        <v>1022</v>
      </c>
      <c r="D442" s="95">
        <f>IF(OR(H442="T",H442="C"),S442,H442)</f>
        <v>2.67E-10</v>
      </c>
      <c r="E442" s="95">
        <f>IF(H442="C","",K442)</f>
      </c>
      <c r="F442" s="96">
        <f>IF(H442="C","",U442)</f>
      </c>
      <c r="G442" s="96">
        <f>IF(M442=0,"",M442)</f>
      </c>
      <c r="H442" s="39" t="s">
        <v>1851</v>
      </c>
      <c r="K442" s="116">
        <v>2.67E-10</v>
      </c>
      <c r="L442" s="120"/>
      <c r="M442" s="118"/>
      <c r="N442" s="116"/>
      <c r="O442" s="120"/>
      <c r="P442" s="118"/>
      <c r="Q442" s="117"/>
      <c r="R442" s="136"/>
      <c r="S442" s="40">
        <f>IF(OR(H442="T",H442="C"),T442,IF(H442="F",(V442/(1+(V442/T442)))*Q442^(1/(1+(LOG10(V442/T442)^2))),IF(H442="S1",T442+V442,IF(H442="S2",T442+(V442/(1+(V442/#REF!))),""))))</f>
        <v>2.67E-10</v>
      </c>
      <c r="T442" s="40">
        <f t="shared" si="55"/>
        <v>2.67E-10</v>
      </c>
      <c r="U442" s="15">
        <f t="shared" si="56"/>
        <v>0</v>
      </c>
      <c r="V442" s="40"/>
      <c r="W442" s="40"/>
      <c r="X442" s="15"/>
      <c r="Y442" s="15"/>
      <c r="CU442" s="1" t="s">
        <v>1022</v>
      </c>
      <c r="CX442" s="2">
        <f t="shared" si="46"/>
        <v>0</v>
      </c>
    </row>
    <row r="443" spans="2:102" ht="51">
      <c r="B443" s="49" t="s">
        <v>617</v>
      </c>
      <c r="C443" s="14" t="s">
        <v>1023</v>
      </c>
      <c r="D443" s="95">
        <f>IF(OR(H443="T",H443="C"),S443,H443)</f>
        <v>4.9E-10</v>
      </c>
      <c r="E443" s="95">
        <f>IF(H443="C","",K443)</f>
      </c>
      <c r="F443" s="96">
        <f>IF(H443="C","",U443)</f>
      </c>
      <c r="G443" s="96">
        <f>IF(M443=0,"",M443)</f>
      </c>
      <c r="H443" s="39" t="s">
        <v>1851</v>
      </c>
      <c r="K443" s="116">
        <v>4.9E-10</v>
      </c>
      <c r="L443" s="120"/>
      <c r="M443" s="118"/>
      <c r="N443" s="116"/>
      <c r="O443" s="120"/>
      <c r="P443" s="118"/>
      <c r="Q443" s="117"/>
      <c r="R443" s="136"/>
      <c r="S443" s="40">
        <f>IF(OR(H443="T",H443="C"),T443,IF(H443="F",(V443/(1+(V443/T443)))*Q443^(1/(1+(LOG10(V443/T443)^2))),IF(H443="S1",T443+V443,IF(H443="S2",T443+(V443/(1+(V443/#REF!))),""))))</f>
        <v>4.9E-10</v>
      </c>
      <c r="T443" s="40">
        <f t="shared" si="55"/>
        <v>4.9E-10</v>
      </c>
      <c r="U443" s="15">
        <f t="shared" si="56"/>
        <v>0</v>
      </c>
      <c r="V443" s="40"/>
      <c r="W443" s="40"/>
      <c r="X443" s="15"/>
      <c r="Y443" s="15"/>
      <c r="CU443" s="1" t="s">
        <v>1023</v>
      </c>
      <c r="CX443" s="2">
        <f t="shared" si="46"/>
        <v>0</v>
      </c>
    </row>
    <row r="444" spans="2:102" ht="63.75">
      <c r="B444" s="49" t="s">
        <v>1356</v>
      </c>
      <c r="C444" s="14" t="s">
        <v>1024</v>
      </c>
      <c r="D444" s="95">
        <f>IF(OR(H444="T",H444="C"),S444,H444)</f>
        <v>4.8E-10</v>
      </c>
      <c r="E444" s="95">
        <f>IF(H444="C","",K444)</f>
      </c>
      <c r="F444" s="96">
        <f>IF(H444="C","",U444)</f>
      </c>
      <c r="G444" s="99"/>
      <c r="H444" s="39" t="s">
        <v>1851</v>
      </c>
      <c r="K444" s="116">
        <v>4.8E-10</v>
      </c>
      <c r="L444" s="120"/>
      <c r="M444" s="118"/>
      <c r="N444" s="116"/>
      <c r="O444" s="120"/>
      <c r="P444" s="118"/>
      <c r="Q444" s="117"/>
      <c r="R444" s="136"/>
      <c r="S444" s="40">
        <f>IF(OR(H444="T",H444="C"),T444,IF(H444="F",(V444/(1+(V444/T444)))*Q444^(1/(1+(LOG10(V444/T444)^2))),IF(H444="S1",T444+V444,IF(H444="S2",T444+(V444/(1+(V444/#REF!))),""))))</f>
        <v>4.8E-10</v>
      </c>
      <c r="T444" s="40">
        <f t="shared" si="55"/>
        <v>4.8E-10</v>
      </c>
      <c r="U444" s="15">
        <f t="shared" si="56"/>
        <v>0</v>
      </c>
      <c r="V444" s="40"/>
      <c r="W444" s="40"/>
      <c r="X444" s="15"/>
      <c r="Y444" s="15"/>
      <c r="CU444" s="1" t="s">
        <v>1024</v>
      </c>
      <c r="CX444" s="2">
        <f t="shared" si="46"/>
        <v>0</v>
      </c>
    </row>
    <row r="445" spans="2:102" ht="114.75">
      <c r="B445" s="49" t="s">
        <v>618</v>
      </c>
      <c r="C445" s="14" t="s">
        <v>1025</v>
      </c>
      <c r="D445" s="95">
        <f>IF(OR(H445="T",H445="C"),S445,H445)</f>
        <v>5.46327028732793E-10</v>
      </c>
      <c r="E445" s="95">
        <f>IF(H445="C","",K445)</f>
      </c>
      <c r="F445" s="96">
        <f>IF(H445="C","",U445)</f>
      </c>
      <c r="G445" s="99"/>
      <c r="H445" s="39" t="s">
        <v>1851</v>
      </c>
      <c r="K445" s="116">
        <v>5.46327028732793E-10</v>
      </c>
      <c r="L445" s="120"/>
      <c r="M445" s="118"/>
      <c r="N445" s="116"/>
      <c r="O445" s="120"/>
      <c r="P445" s="118"/>
      <c r="Q445" s="117"/>
      <c r="R445" s="136"/>
      <c r="S445" s="40">
        <f>IF(OR(H445="T",H445="C"),T445,IF(H445="F",(V445/(1+(V445/T445)))*Q445^(1/(1+(LOG10(V445/T445)^2))),IF(H445="S1",T445+V445,IF(H445="S2",T445+(V445/(1+(V445/#REF!))),""))))</f>
        <v>5.46327028732793E-10</v>
      </c>
      <c r="T445" s="40">
        <f t="shared" si="55"/>
        <v>5.46327028732793E-10</v>
      </c>
      <c r="U445" s="15">
        <f t="shared" si="56"/>
        <v>0</v>
      </c>
      <c r="V445" s="40"/>
      <c r="W445" s="40"/>
      <c r="X445" s="15"/>
      <c r="Y445" s="15"/>
      <c r="CU445" s="1" t="s">
        <v>1025</v>
      </c>
      <c r="CX445" s="2">
        <f t="shared" si="46"/>
        <v>0</v>
      </c>
    </row>
    <row r="446" spans="2:102" ht="15">
      <c r="B446" s="49" t="s">
        <v>1357</v>
      </c>
      <c r="C446" s="14" t="s">
        <v>1358</v>
      </c>
      <c r="D446" s="95">
        <f>S446</f>
        <v>4.970511784400202E-11</v>
      </c>
      <c r="E446" s="103" t="str">
        <f>IF(H446="F","Falloff, F="&amp;TEXT(Q446,"0.00")&amp;", N="&amp;TEXT(R446,"0.00"),H446)</f>
        <v>Falloff, F=0.60, N=1.00</v>
      </c>
      <c r="F446" s="103"/>
      <c r="G446" s="99"/>
      <c r="H446" s="39" t="s">
        <v>1843</v>
      </c>
      <c r="K446" s="116">
        <v>2.2E-10</v>
      </c>
      <c r="L446" s="120"/>
      <c r="M446" s="118"/>
      <c r="N446" s="116">
        <v>5.2E-30</v>
      </c>
      <c r="O446" s="120"/>
      <c r="P446" s="118">
        <v>-2.4</v>
      </c>
      <c r="Q446" s="117">
        <v>0.6</v>
      </c>
      <c r="R446" s="136">
        <v>1</v>
      </c>
      <c r="S446" s="40">
        <f>IF(OR(H446="T",H446="C"),T446,IF(H446="F",(V446/(1+(V446/T446)))*Q446^(1/(1+(LOG10(V446/T446)^2))),IF(H446="S1",T446+V446,IF(H446="S2",T446+(V446/(1+(V446/#REF!))),""))))</f>
        <v>4.970511784400202E-11</v>
      </c>
      <c r="T446" s="40">
        <f t="shared" si="55"/>
        <v>2.2E-10</v>
      </c>
      <c r="U446" s="15">
        <f t="shared" si="56"/>
        <v>0</v>
      </c>
      <c r="V446" s="40">
        <f>W446*V$3*7.3395E+21/T$4</f>
        <v>1.27218E-10</v>
      </c>
      <c r="W446" s="40">
        <f>N446*EXP(-O446/T$4)*(T$4/300)^P446</f>
        <v>5.2E-30</v>
      </c>
      <c r="X446" s="15">
        <f>O446*Rfac</f>
        <v>0</v>
      </c>
      <c r="Y446" s="15"/>
      <c r="CU446" s="1" t="s">
        <v>1358</v>
      </c>
      <c r="CX446" s="2">
        <f t="shared" si="46"/>
        <v>0</v>
      </c>
    </row>
    <row r="447" spans="4:102" ht="15">
      <c r="D447" s="137" t="str">
        <f>IF(H446="F","0: ",H446)</f>
        <v>0: </v>
      </c>
      <c r="E447" s="95">
        <f>N446</f>
        <v>5.2E-30</v>
      </c>
      <c r="F447" s="96">
        <f>X446</f>
        <v>0</v>
      </c>
      <c r="G447" s="96">
        <f>P446</f>
        <v>-2.4</v>
      </c>
      <c r="K447" s="116"/>
      <c r="L447" s="120"/>
      <c r="M447" s="118"/>
      <c r="N447" s="116"/>
      <c r="O447" s="120"/>
      <c r="P447" s="118"/>
      <c r="Q447" s="117"/>
      <c r="R447" s="136"/>
      <c r="S447" s="40"/>
      <c r="T447" s="40"/>
      <c r="U447" s="15"/>
      <c r="V447" s="40"/>
      <c r="W447" s="40"/>
      <c r="X447" s="15"/>
      <c r="Y447" s="15"/>
      <c r="CX447" s="2">
        <f t="shared" si="46"/>
        <v>0</v>
      </c>
    </row>
    <row r="448" spans="4:102" ht="15">
      <c r="D448" s="137" t="str">
        <f>IF(H446="F","inf: ",H446)</f>
        <v>inf: </v>
      </c>
      <c r="E448" s="95">
        <f>K446</f>
        <v>2.2E-10</v>
      </c>
      <c r="F448" s="96">
        <f>U446</f>
        <v>0</v>
      </c>
      <c r="G448" s="96">
        <f>M446</f>
        <v>0</v>
      </c>
      <c r="K448" s="116"/>
      <c r="L448" s="120"/>
      <c r="M448" s="118"/>
      <c r="N448" s="116"/>
      <c r="O448" s="120"/>
      <c r="P448" s="118"/>
      <c r="Q448" s="117"/>
      <c r="R448" s="136"/>
      <c r="S448" s="40"/>
      <c r="T448" s="40"/>
      <c r="U448" s="15"/>
      <c r="V448" s="40"/>
      <c r="W448" s="40"/>
      <c r="X448" s="15"/>
      <c r="Y448" s="15"/>
      <c r="CX448" s="2">
        <f t="shared" si="46"/>
        <v>0</v>
      </c>
    </row>
    <row r="449" spans="2:102" ht="38.25">
      <c r="B449" s="49" t="s">
        <v>619</v>
      </c>
      <c r="C449" s="14" t="s">
        <v>1359</v>
      </c>
      <c r="D449" s="95">
        <f aca="true" t="shared" si="57" ref="D449:D454">IF(OR(H449="T",H449="C"),S449,H449)</f>
        <v>6.2E-11</v>
      </c>
      <c r="E449" s="95">
        <f aca="true" t="shared" si="58" ref="E449:E454">IF(H449="C","",K449)</f>
      </c>
      <c r="F449" s="96">
        <f aca="true" t="shared" si="59" ref="F449:F454">IF(H449="C","",U449)</f>
      </c>
      <c r="G449" s="99"/>
      <c r="H449" s="39" t="s">
        <v>1851</v>
      </c>
      <c r="K449" s="116">
        <v>6.2E-11</v>
      </c>
      <c r="L449" s="120"/>
      <c r="M449" s="118"/>
      <c r="N449" s="116"/>
      <c r="O449" s="120"/>
      <c r="P449" s="118"/>
      <c r="Q449" s="117"/>
      <c r="R449" s="136"/>
      <c r="S449" s="40">
        <f>IF(OR(H449="T",H449="C"),T449,IF(H449="F",(V449/(1+(V449/T449)))*Q449^(1/(1+(LOG10(V449/T449)^2))),IF(H449="S1",T449+V449,IF(H449="S2",T449+(V449/(1+(V449/#REF!))),""))))</f>
        <v>6.2E-11</v>
      </c>
      <c r="T449" s="40">
        <f aca="true" t="shared" si="60" ref="T449:T454">K449*EXP(-L449/T$4)*((T$4/300)^M449)</f>
        <v>6.2E-11</v>
      </c>
      <c r="U449" s="15">
        <f aca="true" t="shared" si="61" ref="U449:U454">L449*Rfac</f>
        <v>0</v>
      </c>
      <c r="V449" s="40"/>
      <c r="W449" s="40"/>
      <c r="X449" s="15"/>
      <c r="Y449" s="15"/>
      <c r="CU449" s="1" t="s">
        <v>1359</v>
      </c>
      <c r="CX449" s="2">
        <f t="shared" si="46"/>
        <v>0</v>
      </c>
    </row>
    <row r="450" spans="2:102" ht="38.25">
      <c r="B450" s="49" t="s">
        <v>620</v>
      </c>
      <c r="C450" s="14" t="s">
        <v>1360</v>
      </c>
      <c r="D450" s="95">
        <f t="shared" si="57"/>
        <v>1.35E-10</v>
      </c>
      <c r="E450" s="95">
        <f t="shared" si="58"/>
      </c>
      <c r="F450" s="96">
        <f t="shared" si="59"/>
      </c>
      <c r="G450" s="99"/>
      <c r="H450" s="39" t="s">
        <v>1851</v>
      </c>
      <c r="K450" s="116">
        <v>1.35E-10</v>
      </c>
      <c r="L450" s="120"/>
      <c r="M450" s="118"/>
      <c r="N450" s="116"/>
      <c r="O450" s="120"/>
      <c r="P450" s="118"/>
      <c r="Q450" s="117"/>
      <c r="R450" s="136"/>
      <c r="S450" s="40">
        <f>IF(OR(H450="T",H450="C"),T450,IF(H450="F",(V450/(1+(V450/T450)))*Q450^(1/(1+(LOG10(V450/T450)^2))),IF(H450="S1",T450+V450,IF(H450="S2",T450+(V450/(1+(V450/#REF!))),""))))</f>
        <v>1.35E-10</v>
      </c>
      <c r="T450" s="40">
        <f t="shared" si="60"/>
        <v>1.35E-10</v>
      </c>
      <c r="U450" s="15">
        <f t="shared" si="61"/>
        <v>0</v>
      </c>
      <c r="V450" s="40"/>
      <c r="W450" s="40"/>
      <c r="X450" s="15"/>
      <c r="Y450" s="15"/>
      <c r="CU450" s="1" t="s">
        <v>1360</v>
      </c>
      <c r="CX450" s="2">
        <f t="shared" si="46"/>
        <v>0</v>
      </c>
    </row>
    <row r="451" spans="2:102" ht="38.25">
      <c r="B451" s="49" t="s">
        <v>621</v>
      </c>
      <c r="C451" s="14" t="s">
        <v>1361</v>
      </c>
      <c r="D451" s="95">
        <f t="shared" si="57"/>
        <v>1.4E-10</v>
      </c>
      <c r="E451" s="95">
        <f t="shared" si="58"/>
      </c>
      <c r="F451" s="96">
        <f t="shared" si="59"/>
      </c>
      <c r="G451" s="99"/>
      <c r="H451" s="39" t="s">
        <v>1851</v>
      </c>
      <c r="K451" s="116">
        <v>1.4E-10</v>
      </c>
      <c r="L451" s="120"/>
      <c r="M451" s="118"/>
      <c r="N451" s="116"/>
      <c r="O451" s="120"/>
      <c r="P451" s="118"/>
      <c r="Q451" s="117"/>
      <c r="R451" s="136"/>
      <c r="S451" s="40">
        <f>IF(OR(H451="T",H451="C"),T451,IF(H451="F",(V451/(1+(V451/T451)))*Q451^(1/(1+(LOG10(V451/T451)^2))),IF(H451="S1",T451+V451,IF(H451="S2",T451+(V451/(1+(V451/#REF!))),""))))</f>
        <v>1.4E-10</v>
      </c>
      <c r="T451" s="40">
        <f t="shared" si="60"/>
        <v>1.4E-10</v>
      </c>
      <c r="U451" s="15">
        <f t="shared" si="61"/>
        <v>0</v>
      </c>
      <c r="V451" s="40"/>
      <c r="W451" s="40"/>
      <c r="X451" s="15"/>
      <c r="Y451" s="15"/>
      <c r="CU451" s="1" t="s">
        <v>1361</v>
      </c>
      <c r="CX451" s="2">
        <f t="shared" si="46"/>
        <v>0</v>
      </c>
    </row>
    <row r="452" spans="2:102" ht="38.25">
      <c r="B452" s="49" t="s">
        <v>622</v>
      </c>
      <c r="C452" s="14" t="s">
        <v>1362</v>
      </c>
      <c r="D452" s="95">
        <f t="shared" si="57"/>
        <v>1.44E-10</v>
      </c>
      <c r="E452" s="95">
        <f t="shared" si="58"/>
      </c>
      <c r="F452" s="96">
        <f t="shared" si="59"/>
      </c>
      <c r="G452" s="99"/>
      <c r="H452" s="39" t="s">
        <v>1851</v>
      </c>
      <c r="K452" s="116">
        <v>1.44E-10</v>
      </c>
      <c r="L452" s="120"/>
      <c r="M452" s="118"/>
      <c r="N452" s="116"/>
      <c r="O452" s="120"/>
      <c r="P452" s="118"/>
      <c r="Q452" s="117"/>
      <c r="R452" s="136"/>
      <c r="S452" s="40">
        <f>IF(OR(H452="T",H452="C"),T452,IF(H452="F",(V452/(1+(V452/T452)))*Q452^(1/(1+(LOG10(V452/T452)^2))),IF(H452="S1",T452+V452,IF(H452="S2",T452+(V452/(1+(V452/#REF!))),""))))</f>
        <v>1.44E-10</v>
      </c>
      <c r="T452" s="40">
        <f t="shared" si="60"/>
        <v>1.44E-10</v>
      </c>
      <c r="U452" s="15">
        <f t="shared" si="61"/>
        <v>0</v>
      </c>
      <c r="V452" s="40"/>
      <c r="W452" s="40"/>
      <c r="X452" s="15"/>
      <c r="Y452" s="15"/>
      <c r="CU452" s="1" t="s">
        <v>1362</v>
      </c>
      <c r="CX452" s="2">
        <f t="shared" si="46"/>
        <v>0</v>
      </c>
    </row>
    <row r="453" spans="2:102" ht="38.25">
      <c r="B453" s="49" t="s">
        <v>623</v>
      </c>
      <c r="C453" s="14" t="s">
        <v>1363</v>
      </c>
      <c r="D453" s="95">
        <f t="shared" si="57"/>
        <v>2.42E-10</v>
      </c>
      <c r="E453" s="95">
        <f t="shared" si="58"/>
      </c>
      <c r="F453" s="96">
        <f t="shared" si="59"/>
      </c>
      <c r="G453" s="99"/>
      <c r="H453" s="39" t="s">
        <v>1851</v>
      </c>
      <c r="K453" s="116">
        <v>2.42E-10</v>
      </c>
      <c r="L453" s="120"/>
      <c r="M453" s="118"/>
      <c r="N453" s="116"/>
      <c r="O453" s="120"/>
      <c r="P453" s="118"/>
      <c r="Q453" s="117"/>
      <c r="R453" s="136"/>
      <c r="S453" s="40">
        <f>IF(OR(H453="T",H453="C"),T453,IF(H453="F",(V453/(1+(V453/T453)))*Q453^(1/(1+(LOG10(V453/T453)^2))),IF(H453="S1",T453+V453,IF(H453="S2",T453+(V453/(1+(V453/#REF!))),""))))</f>
        <v>2.42E-10</v>
      </c>
      <c r="T453" s="40">
        <f t="shared" si="60"/>
        <v>2.42E-10</v>
      </c>
      <c r="U453" s="15">
        <f t="shared" si="61"/>
        <v>0</v>
      </c>
      <c r="V453" s="40"/>
      <c r="W453" s="40"/>
      <c r="X453" s="15"/>
      <c r="Y453" s="15"/>
      <c r="CU453" s="1" t="s">
        <v>1363</v>
      </c>
      <c r="CX453" s="2">
        <f t="shared" si="46"/>
        <v>0</v>
      </c>
    </row>
    <row r="454" spans="2:102" ht="51">
      <c r="B454" s="49" t="s">
        <v>624</v>
      </c>
      <c r="C454" s="14" t="s">
        <v>1026</v>
      </c>
      <c r="D454" s="95">
        <f t="shared" si="57"/>
        <v>9.991774487463234E-11</v>
      </c>
      <c r="E454" s="95">
        <f t="shared" si="58"/>
        <v>8.6E-11</v>
      </c>
      <c r="F454" s="96">
        <f t="shared" si="59"/>
        <v>-0.089424</v>
      </c>
      <c r="G454" s="108"/>
      <c r="H454" s="39" t="s">
        <v>1859</v>
      </c>
      <c r="K454" s="116">
        <v>8.6E-11</v>
      </c>
      <c r="L454" s="120">
        <v>-45</v>
      </c>
      <c r="M454" s="118">
        <v>0</v>
      </c>
      <c r="N454" s="116"/>
      <c r="O454" s="120"/>
      <c r="P454" s="118"/>
      <c r="Q454" s="117"/>
      <c r="R454" s="136"/>
      <c r="S454" s="40">
        <f>IF(OR(H454="T",H454="C"),T454,IF(H454="F",(V454/(1+(V454/T454)))*Q454^(1/(1+(LOG10(V454/T454)^2))),IF(H454="S1",T454+V454,IF(H454="S2",T454+(V454/(1+(V454/#REF!))),""))))</f>
        <v>9.991774487463234E-11</v>
      </c>
      <c r="T454" s="40">
        <f t="shared" si="60"/>
        <v>9.991774487463234E-11</v>
      </c>
      <c r="U454" s="15">
        <f t="shared" si="61"/>
        <v>-0.089424</v>
      </c>
      <c r="V454" s="40"/>
      <c r="W454" s="40"/>
      <c r="X454" s="15"/>
      <c r="Y454" s="15"/>
      <c r="CU454" s="1" t="s">
        <v>1026</v>
      </c>
      <c r="CX454" s="2">
        <f t="shared" si="46"/>
        <v>0</v>
      </c>
    </row>
    <row r="455" spans="1:102" ht="15">
      <c r="A455" s="13" t="s">
        <v>1060</v>
      </c>
      <c r="D455" s="95"/>
      <c r="E455" s="95"/>
      <c r="F455" s="96"/>
      <c r="G455" s="96"/>
      <c r="K455" s="116"/>
      <c r="M455" s="117"/>
      <c r="N455" s="116"/>
      <c r="O455" s="117"/>
      <c r="P455" s="118"/>
      <c r="Q455" s="117"/>
      <c r="S455" s="40"/>
      <c r="T455" s="40"/>
      <c r="U455" s="117"/>
      <c r="V455" s="116"/>
      <c r="W455" s="116"/>
      <c r="X455" s="117"/>
      <c r="Y455" s="117"/>
      <c r="CX455" s="2">
        <f aca="true" t="shared" si="62" ref="CX455:CX466">IF(CU455=C455,0,1)</f>
        <v>0</v>
      </c>
    </row>
    <row r="456" spans="2:102" ht="25.5">
      <c r="B456" s="49" t="s">
        <v>625</v>
      </c>
      <c r="C456" s="14" t="s">
        <v>1041</v>
      </c>
      <c r="D456" s="95">
        <f aca="true" t="shared" si="63" ref="D456:D465">IF(OR(H456="T",H456="C"),S456,H456)</f>
        <v>5.94720987776245E-11</v>
      </c>
      <c r="E456" s="95">
        <f aca="true" t="shared" si="64" ref="E456:E465">IF(H456="C","",K456)</f>
        <v>8.3E-11</v>
      </c>
      <c r="F456" s="96">
        <f aca="true" t="shared" si="65" ref="F456:F465">IF(H456="C","",U456)</f>
        <v>0.19872</v>
      </c>
      <c r="G456" s="108"/>
      <c r="H456" s="39" t="s">
        <v>1859</v>
      </c>
      <c r="J456" s="42"/>
      <c r="K456" s="132">
        <v>8.3E-11</v>
      </c>
      <c r="L456" s="133">
        <v>100</v>
      </c>
      <c r="M456" s="134"/>
      <c r="N456" s="132"/>
      <c r="O456" s="134"/>
      <c r="P456" s="135"/>
      <c r="Q456" s="134"/>
      <c r="R456" s="43"/>
      <c r="S456" s="40">
        <f>IF(OR(H456="T",H456="C"),T456,IF(H456="F",(V456/(1+(V456/T456)))*Q456^(1/(1+((LOG10(V456/T456)/R456)^2))),IF(H456="S1",T456+V456,IF(H456="S2",T456+(V456/(1+(V456/T350))),""))))</f>
        <v>5.94720987776245E-11</v>
      </c>
      <c r="T456" s="40">
        <f aca="true" t="shared" si="66" ref="T456:T461">K456*EXP(-L456/T$4)*((T$4/300)^M456)</f>
        <v>5.94720987776245E-11</v>
      </c>
      <c r="U456" s="15">
        <f aca="true" t="shared" si="67" ref="U456:U461">L456*Rfac</f>
        <v>0.19872</v>
      </c>
      <c r="V456" s="132"/>
      <c r="W456" s="132"/>
      <c r="X456" s="134"/>
      <c r="Y456" s="134"/>
      <c r="CU456" s="1" t="s">
        <v>1041</v>
      </c>
      <c r="CX456" s="2">
        <f t="shared" si="62"/>
        <v>0</v>
      </c>
    </row>
    <row r="457" spans="2:102" ht="38.25">
      <c r="B457" s="49" t="s">
        <v>626</v>
      </c>
      <c r="C457" s="14" t="s">
        <v>1042</v>
      </c>
      <c r="D457" s="95">
        <f t="shared" si="63"/>
        <v>1.3711569741548673E-10</v>
      </c>
      <c r="E457" s="95">
        <f t="shared" si="64"/>
        <v>1.2E-10</v>
      </c>
      <c r="F457" s="96">
        <f t="shared" si="65"/>
        <v>-0.079488</v>
      </c>
      <c r="G457" s="108"/>
      <c r="H457" s="39" t="s">
        <v>1859</v>
      </c>
      <c r="J457" s="42"/>
      <c r="K457" s="132">
        <v>1.2E-10</v>
      </c>
      <c r="L457" s="133">
        <v>-40</v>
      </c>
      <c r="M457" s="134">
        <v>0</v>
      </c>
      <c r="N457" s="132"/>
      <c r="O457" s="134"/>
      <c r="P457" s="135"/>
      <c r="Q457" s="134"/>
      <c r="R457" s="43"/>
      <c r="S457" s="40">
        <f>IF(OR(H457="T",H457="C"),T457,IF(H457="F",(V457/(1+(V457/T457)))*Q457^(1/(1+((LOG10(V457/T457)/R457)^2))),IF(H457="S1",T457+V457,IF(H457="S2",T457+(V457/(1+(V457/T456))),""))))</f>
        <v>1.3711569741548673E-10</v>
      </c>
      <c r="T457" s="40">
        <f t="shared" si="66"/>
        <v>1.3711569741548673E-10</v>
      </c>
      <c r="U457" s="15">
        <f t="shared" si="67"/>
        <v>-0.079488</v>
      </c>
      <c r="V457" s="132"/>
      <c r="W457" s="132"/>
      <c r="X457" s="134"/>
      <c r="Y457" s="134"/>
      <c r="CU457" s="1" t="s">
        <v>1042</v>
      </c>
      <c r="CX457" s="2">
        <f t="shared" si="62"/>
        <v>0</v>
      </c>
    </row>
    <row r="458" spans="2:102" ht="63.75">
      <c r="B458" s="49" t="s">
        <v>627</v>
      </c>
      <c r="C458" s="14" t="s">
        <v>1043</v>
      </c>
      <c r="D458" s="95">
        <f t="shared" si="63"/>
        <v>1.8634499808927688E-10</v>
      </c>
      <c r="E458" s="95">
        <f t="shared" si="64"/>
      </c>
      <c r="F458" s="96">
        <f t="shared" si="65"/>
      </c>
      <c r="G458" s="108"/>
      <c r="H458" s="39" t="s">
        <v>1851</v>
      </c>
      <c r="J458" s="42"/>
      <c r="K458" s="132">
        <v>1.8634499808927688E-10</v>
      </c>
      <c r="L458" s="133"/>
      <c r="M458" s="134"/>
      <c r="N458" s="132"/>
      <c r="O458" s="134"/>
      <c r="P458" s="135"/>
      <c r="Q458" s="134"/>
      <c r="R458" s="43"/>
      <c r="S458" s="40">
        <f>IF(OR(H458="T",H458="C"),T458,IF(H458="F",(V458/(1+(V458/T458)))*Q458^(1/(1+((LOG10(V458/T458)/R458)^2))),IF(H458="S1",T458+V458,IF(H458="S2",T458+(V458/(1+(V458/T353))),""))))</f>
        <v>1.8634499808927688E-10</v>
      </c>
      <c r="T458" s="40">
        <f t="shared" si="66"/>
        <v>1.8634499808927688E-10</v>
      </c>
      <c r="U458" s="15">
        <f t="shared" si="67"/>
        <v>0</v>
      </c>
      <c r="V458" s="132"/>
      <c r="W458" s="132"/>
      <c r="X458" s="134"/>
      <c r="Y458" s="134"/>
      <c r="CU458" s="1" t="s">
        <v>1043</v>
      </c>
      <c r="CX458" s="2">
        <f t="shared" si="62"/>
        <v>0</v>
      </c>
    </row>
    <row r="459" spans="2:102" ht="76.5">
      <c r="B459" s="49" t="s">
        <v>628</v>
      </c>
      <c r="C459" s="14" t="s">
        <v>1044</v>
      </c>
      <c r="D459" s="95">
        <f t="shared" si="63"/>
        <v>2.625090068629717E-10</v>
      </c>
      <c r="E459" s="95">
        <f t="shared" si="64"/>
      </c>
      <c r="F459" s="96">
        <f t="shared" si="65"/>
      </c>
      <c r="G459" s="108"/>
      <c r="H459" s="39" t="s">
        <v>1851</v>
      </c>
      <c r="J459" s="42"/>
      <c r="K459" s="132">
        <v>2.625090068629717E-10</v>
      </c>
      <c r="L459" s="133"/>
      <c r="M459" s="134"/>
      <c r="N459" s="132"/>
      <c r="O459" s="134"/>
      <c r="P459" s="135"/>
      <c r="Q459" s="134"/>
      <c r="R459" s="43"/>
      <c r="S459" s="40">
        <f>IF(OR(H459="T",H459="C"),T459,IF(H459="F",(V459/(1+(V459/T459)))*Q459^(1/(1+((LOG10(V459/T459)/R459)^2))),IF(H459="S1",T459+V459,IF(H459="S2",T459+(V459/(1+(V459/T354))),""))))</f>
        <v>2.625090068629717E-10</v>
      </c>
      <c r="T459" s="40">
        <f t="shared" si="66"/>
        <v>2.625090068629717E-10</v>
      </c>
      <c r="U459" s="15">
        <f t="shared" si="67"/>
        <v>0</v>
      </c>
      <c r="V459" s="132"/>
      <c r="W459" s="132"/>
      <c r="X459" s="134"/>
      <c r="Y459" s="134"/>
      <c r="CU459" s="1" t="s">
        <v>1044</v>
      </c>
      <c r="CX459" s="2">
        <f t="shared" si="62"/>
        <v>0</v>
      </c>
    </row>
    <row r="460" spans="2:102" ht="63.75">
      <c r="B460" s="49" t="s">
        <v>629</v>
      </c>
      <c r="C460" s="14" t="s">
        <v>1045</v>
      </c>
      <c r="D460" s="95">
        <f t="shared" si="63"/>
        <v>4.206142605239641E-10</v>
      </c>
      <c r="E460" s="95">
        <f t="shared" si="64"/>
      </c>
      <c r="F460" s="96">
        <f t="shared" si="65"/>
      </c>
      <c r="G460" s="108"/>
      <c r="H460" s="39" t="s">
        <v>1851</v>
      </c>
      <c r="J460" s="42"/>
      <c r="K460" s="132">
        <v>4.206142605239641E-10</v>
      </c>
      <c r="L460" s="133"/>
      <c r="M460" s="134"/>
      <c r="N460" s="132"/>
      <c r="O460" s="134"/>
      <c r="P460" s="135"/>
      <c r="Q460" s="134"/>
      <c r="R460" s="43"/>
      <c r="S460" s="40">
        <f>IF(OR(H460="T",H460="C"),T460,IF(H460="F",(V460/(1+(V460/T460)))*Q460^(1/(1+((LOG10(V460/T460)/R460)^2))),IF(H460="S1",T460+V460,IF(H460="S2",T460+(V460/(1+(V460/#REF!))),""))))</f>
        <v>4.206142605239641E-10</v>
      </c>
      <c r="T460" s="40">
        <f t="shared" si="66"/>
        <v>4.206142605239641E-10</v>
      </c>
      <c r="U460" s="15">
        <f t="shared" si="67"/>
        <v>0</v>
      </c>
      <c r="V460" s="132"/>
      <c r="W460" s="132"/>
      <c r="X460" s="134"/>
      <c r="Y460" s="134"/>
      <c r="CU460" s="1" t="s">
        <v>1045</v>
      </c>
      <c r="CX460" s="2">
        <f t="shared" si="62"/>
        <v>0</v>
      </c>
    </row>
    <row r="461" spans="2:102" ht="89.25">
      <c r="B461" s="49" t="s">
        <v>630</v>
      </c>
      <c r="C461" s="14" t="s">
        <v>1053</v>
      </c>
      <c r="D461" s="95">
        <f t="shared" si="63"/>
        <v>3.9168537665313105E-10</v>
      </c>
      <c r="E461" s="95">
        <f t="shared" si="64"/>
      </c>
      <c r="F461" s="96">
        <f t="shared" si="65"/>
      </c>
      <c r="G461" s="108"/>
      <c r="H461" s="39" t="s">
        <v>1851</v>
      </c>
      <c r="K461" s="116">
        <v>3.9168537665313105E-10</v>
      </c>
      <c r="L461" s="120"/>
      <c r="M461" s="117"/>
      <c r="N461" s="116"/>
      <c r="O461" s="117"/>
      <c r="P461" s="118"/>
      <c r="Q461" s="117"/>
      <c r="S461" s="40">
        <f>IF(OR(H461="T",H461="C"),T461,IF(H461="F",(V461/(1+(V461/T461)))*Q461^(1/(1+((LOG10(V461/T461)/R461)^2))),IF(H461="S1",T461+V461,IF(H461="S2",T461+(V461/(1+(V461/#REF!))),""))))</f>
        <v>3.9168537665313105E-10</v>
      </c>
      <c r="T461" s="40">
        <f t="shared" si="66"/>
        <v>3.9168537665313105E-10</v>
      </c>
      <c r="U461" s="15">
        <f t="shared" si="67"/>
        <v>0</v>
      </c>
      <c r="V461" s="116"/>
      <c r="W461" s="116"/>
      <c r="X461" s="117"/>
      <c r="Y461" s="117"/>
      <c r="CU461" s="1" t="s">
        <v>1053</v>
      </c>
      <c r="CX461" s="2">
        <f t="shared" si="62"/>
        <v>0</v>
      </c>
    </row>
    <row r="462" spans="2:102" ht="102">
      <c r="B462" s="49" t="s">
        <v>631</v>
      </c>
      <c r="C462" s="14" t="s">
        <v>1054</v>
      </c>
      <c r="D462" s="95">
        <f t="shared" si="63"/>
        <v>3.7697478470820894E-10</v>
      </c>
      <c r="E462" s="95">
        <f t="shared" si="64"/>
      </c>
      <c r="F462" s="96">
        <f t="shared" si="65"/>
      </c>
      <c r="G462" s="108"/>
      <c r="H462" s="39" t="s">
        <v>1851</v>
      </c>
      <c r="K462" s="116">
        <v>3.7697478470820894E-10</v>
      </c>
      <c r="L462" s="120"/>
      <c r="M462" s="117"/>
      <c r="N462" s="116"/>
      <c r="O462" s="117"/>
      <c r="P462" s="118"/>
      <c r="Q462" s="117"/>
      <c r="S462" s="40">
        <f>IF(OR(H462="T",H462="C"),T462,IF(H462="F",(V462/(1+(V462/T462)))*Q462^(1/(1+((LOG10(V462/T462)/R462)^2))),IF(H462="S1",T462+V462,IF(H462="S2",T462+(V462/(1+(V462/#REF!))),""))))</f>
        <v>3.7697478470820894E-10</v>
      </c>
      <c r="T462" s="40">
        <f>K462*EXP(-L462/T$4)*((T$4/300)^M462)</f>
        <v>3.7697478470820894E-10</v>
      </c>
      <c r="U462" s="15">
        <f>L462*Rfac</f>
        <v>0</v>
      </c>
      <c r="V462" s="116"/>
      <c r="W462" s="116"/>
      <c r="X462" s="117"/>
      <c r="Y462" s="117"/>
      <c r="CU462" s="1" t="s">
        <v>1054</v>
      </c>
      <c r="CX462" s="2">
        <f t="shared" si="62"/>
        <v>0</v>
      </c>
    </row>
    <row r="463" spans="2:102" ht="25.5">
      <c r="B463" s="49" t="s">
        <v>632</v>
      </c>
      <c r="C463" s="14" t="s">
        <v>1055</v>
      </c>
      <c r="D463" s="95">
        <f t="shared" si="63"/>
        <v>2.161488431618167E-10</v>
      </c>
      <c r="E463" s="95">
        <f t="shared" si="64"/>
      </c>
      <c r="F463" s="96">
        <f t="shared" si="65"/>
      </c>
      <c r="G463" s="108"/>
      <c r="H463" s="39" t="s">
        <v>1851</v>
      </c>
      <c r="J463" s="42"/>
      <c r="K463" s="132">
        <v>2.161488431618167E-10</v>
      </c>
      <c r="L463" s="133"/>
      <c r="M463" s="134"/>
      <c r="N463" s="132"/>
      <c r="O463" s="134"/>
      <c r="P463" s="135"/>
      <c r="Q463" s="134"/>
      <c r="R463" s="43"/>
      <c r="S463" s="40">
        <f>IF(OR(H463="T",H463="C"),T463,IF(H463="F",(V463/(1+(V463/T463)))*Q463^(1/(1+((LOG10(V463/T463)/R463)^2))),IF(H463="S1",T463+V463,IF(H463="S2",T463+(V463/(1+(V463/T364))),""))))</f>
        <v>2.161488431618167E-10</v>
      </c>
      <c r="T463" s="40">
        <f>K463*EXP(-L463/T$4)*((T$4/300)^M463)</f>
        <v>2.161488431618167E-10</v>
      </c>
      <c r="U463" s="15">
        <f>L463*Rfac</f>
        <v>0</v>
      </c>
      <c r="V463" s="132"/>
      <c r="W463" s="132"/>
      <c r="X463" s="134"/>
      <c r="Y463" s="134"/>
      <c r="CU463" s="1" t="s">
        <v>1055</v>
      </c>
      <c r="CX463" s="2">
        <f t="shared" si="62"/>
        <v>0</v>
      </c>
    </row>
    <row r="464" spans="2:102" ht="38.25">
      <c r="B464" s="49" t="s">
        <v>633</v>
      </c>
      <c r="C464" s="14" t="s">
        <v>1056</v>
      </c>
      <c r="D464" s="95">
        <f t="shared" si="63"/>
        <v>2.6591821799051507E-10</v>
      </c>
      <c r="E464" s="95">
        <f t="shared" si="64"/>
      </c>
      <c r="F464" s="96">
        <f t="shared" si="65"/>
      </c>
      <c r="G464" s="108"/>
      <c r="H464" s="39" t="s">
        <v>1851</v>
      </c>
      <c r="K464" s="116">
        <v>2.6591821799051507E-10</v>
      </c>
      <c r="L464" s="120"/>
      <c r="M464" s="117"/>
      <c r="N464" s="116"/>
      <c r="O464" s="117"/>
      <c r="P464" s="118"/>
      <c r="Q464" s="117"/>
      <c r="S464" s="40">
        <f>IF(OR(H464="T",H464="C"),T464,IF(H464="F",(V464/(1+(V464/T464)))*Q464^(1/(1+((LOG10(V464/T464)/R464)^2))),IF(H464="S1",T464+V464,IF(H464="S2",T464+(V464/(1+(V464/#REF!))),""))))</f>
        <v>2.6591821799051507E-10</v>
      </c>
      <c r="T464" s="40">
        <f>K464*EXP(-L464/T$4)*((T$4/300)^M464)</f>
        <v>2.6591821799051507E-10</v>
      </c>
      <c r="U464" s="15">
        <f>L464*Rfac</f>
        <v>0</v>
      </c>
      <c r="V464" s="116"/>
      <c r="W464" s="116"/>
      <c r="X464" s="117"/>
      <c r="Y464" s="117"/>
      <c r="CU464" s="1" t="s">
        <v>1056</v>
      </c>
      <c r="CX464" s="2">
        <f t="shared" si="62"/>
        <v>0</v>
      </c>
    </row>
    <row r="465" spans="2:102" ht="114.75">
      <c r="B465" s="49" t="s">
        <v>634</v>
      </c>
      <c r="C465" s="14" t="s">
        <v>1057</v>
      </c>
      <c r="D465" s="95">
        <f t="shared" si="63"/>
        <v>5.463270287327929E-10</v>
      </c>
      <c r="E465" s="95">
        <f t="shared" si="64"/>
      </c>
      <c r="F465" s="96">
        <f t="shared" si="65"/>
      </c>
      <c r="G465" s="108"/>
      <c r="H465" s="39" t="s">
        <v>1851</v>
      </c>
      <c r="K465" s="116">
        <v>5.463270287327929E-10</v>
      </c>
      <c r="L465" s="120"/>
      <c r="M465" s="117"/>
      <c r="N465" s="116"/>
      <c r="O465" s="117"/>
      <c r="P465" s="118"/>
      <c r="Q465" s="117"/>
      <c r="S465" s="40">
        <f>IF(OR(H465="T",H465="C"),T465,IF(H465="F",(V465/(1+(V465/T465)))*Q465^(1/(1+((LOG10(V465/T465)/R465)^2))),IF(H465="S1",T465+V465,IF(H465="S2",T465+(V465/(1+(V465/T355))),""))))</f>
        <v>5.463270287327929E-10</v>
      </c>
      <c r="T465" s="40">
        <f>K465*EXP(-L465/T$4)*((T$4/300)^M465)</f>
        <v>5.463270287327929E-10</v>
      </c>
      <c r="U465" s="15">
        <f>L465*Rfac</f>
        <v>0</v>
      </c>
      <c r="V465" s="116"/>
      <c r="W465" s="116"/>
      <c r="X465" s="117"/>
      <c r="Y465" s="117"/>
      <c r="CU465" s="1" t="s">
        <v>1057</v>
      </c>
      <c r="CX465" s="2">
        <f t="shared" si="62"/>
        <v>0</v>
      </c>
    </row>
    <row r="466" spans="2:102" ht="114.75">
      <c r="B466" s="49" t="s">
        <v>635</v>
      </c>
      <c r="C466" s="14" t="s">
        <v>1394</v>
      </c>
      <c r="D466" s="98" t="str">
        <f>IF(H466="S",CONCATENATE("Same k as rxn ",I466),H466)</f>
        <v>Same k as rxn BC10</v>
      </c>
      <c r="E466" s="98"/>
      <c r="F466" s="98"/>
      <c r="G466" s="99"/>
      <c r="H466" s="39" t="s">
        <v>56</v>
      </c>
      <c r="I466" s="142" t="str">
        <f>$B$465</f>
        <v>BC10</v>
      </c>
      <c r="K466" s="116"/>
      <c r="L466" s="120"/>
      <c r="M466" s="117"/>
      <c r="N466" s="116"/>
      <c r="O466" s="117"/>
      <c r="P466" s="118"/>
      <c r="Q466" s="117"/>
      <c r="S466" s="40"/>
      <c r="T466" s="40"/>
      <c r="U466" s="15"/>
      <c r="V466" s="116"/>
      <c r="W466" s="116"/>
      <c r="X466" s="117"/>
      <c r="Y466" s="117"/>
      <c r="CU466" s="1" t="s">
        <v>1394</v>
      </c>
      <c r="CX466" s="2">
        <f t="shared" si="62"/>
        <v>0</v>
      </c>
    </row>
  </sheetData>
  <printOptions gridLines="1" horizontalCentered="1"/>
  <pageMargins left="1" right="1" top="1" bottom="1" header="0.5" footer="0.5"/>
  <pageSetup fitToHeight="1" fitToWidth="1" horizontalDpi="300" verticalDpi="300" orientation="portrait" r:id="rId1"/>
  <headerFooter alignWithMargins="0">
    <oddFooter>&amp;L&amp;F&amp;C&amp;A&amp;R&amp;D</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CT743"/>
  <sheetViews>
    <sheetView workbookViewId="0" topLeftCell="A1">
      <pane ySplit="4" topLeftCell="BM5" activePane="bottomLeft" state="frozen"/>
      <selection pane="topLeft" activeCell="A1" sqref="A1"/>
      <selection pane="bottomLeft" activeCell="D2" sqref="D2"/>
    </sheetView>
  </sheetViews>
  <sheetFormatPr defaultColWidth="9.140625" defaultRowHeight="12.75"/>
  <cols>
    <col min="1" max="1" width="1.1484375" style="13" customWidth="1"/>
    <col min="2" max="2" width="7.7109375" style="49" customWidth="1"/>
    <col min="3" max="3" width="40.421875" style="14" customWidth="1"/>
    <col min="4" max="4" width="9.00390625" style="18" customWidth="1"/>
    <col min="5" max="5" width="9.8515625" style="18" customWidth="1"/>
    <col min="6" max="6" width="6.421875" style="3" customWidth="1"/>
    <col min="7" max="7" width="5.421875" style="3" customWidth="1"/>
    <col min="8" max="8" width="4.28125" style="39" customWidth="1"/>
    <col min="9" max="9" width="11.140625" style="49" customWidth="1"/>
    <col min="10" max="10" width="8.57421875" style="18" customWidth="1"/>
    <col min="11" max="11" width="9.28125" style="18" customWidth="1"/>
    <col min="12" max="12" width="6.421875" style="41" customWidth="1"/>
    <col min="13" max="13" width="5.421875" style="3" customWidth="1"/>
    <col min="14" max="14" width="9.28125" style="18" customWidth="1"/>
    <col min="15" max="15" width="6.421875" style="3" customWidth="1"/>
    <col min="16" max="16" width="5.421875" style="52" customWidth="1"/>
    <col min="17" max="18" width="5.7109375" style="3" customWidth="1"/>
    <col min="19" max="20" width="9.00390625" style="18" customWidth="1"/>
    <col min="21" max="21" width="6.421875" style="3" customWidth="1"/>
    <col min="22" max="22" width="9.57421875" style="18" bestFit="1" customWidth="1"/>
    <col min="23" max="23" width="9.00390625" style="18" customWidth="1"/>
    <col min="24" max="24" width="6.421875" style="3" customWidth="1"/>
    <col min="25" max="25" width="7.8515625" style="3" customWidth="1"/>
    <col min="26" max="26" width="1.421875" style="2" customWidth="1"/>
    <col min="27" max="27" width="36.140625" style="86" bestFit="1" customWidth="1"/>
    <col min="28" max="28" width="9.00390625" style="78" customWidth="1"/>
    <col min="29" max="29" width="1.421875" style="2" customWidth="1"/>
    <col min="30" max="30" width="9.140625" style="19" customWidth="1"/>
    <col min="31" max="31" width="7.28125" style="2" customWidth="1"/>
    <col min="32" max="32" width="7.140625" style="2" customWidth="1"/>
    <col min="33" max="33" width="5.8515625" style="2" customWidth="1"/>
    <col min="34" max="34" width="3.57421875" style="79" customWidth="1"/>
    <col min="35" max="38" width="10.7109375" style="49" customWidth="1"/>
    <col min="39" max="39" width="2.00390625" style="80" customWidth="1"/>
    <col min="40" max="40" width="6.8515625" style="3" customWidth="1"/>
    <col min="41" max="41" width="10.7109375" style="49" customWidth="1"/>
    <col min="42" max="42" width="6.8515625" style="3" customWidth="1"/>
    <col min="43" max="43" width="10.7109375" style="49" customWidth="1"/>
    <col min="44" max="44" width="6.8515625" style="3" customWidth="1"/>
    <col min="45" max="45" width="10.7109375" style="49" customWidth="1"/>
    <col min="46" max="46" width="6.8515625" style="3" customWidth="1"/>
    <col min="47" max="47" width="10.7109375" style="49" customWidth="1"/>
    <col min="48" max="48" width="6.8515625" style="3" customWidth="1"/>
    <col min="49" max="49" width="10.7109375" style="49" customWidth="1"/>
    <col min="50" max="50" width="6.8515625" style="3" customWidth="1"/>
    <col min="51" max="51" width="10.7109375" style="49" customWidth="1"/>
    <col min="52" max="52" width="6.8515625" style="3" customWidth="1"/>
    <col min="53" max="53" width="10.7109375" style="49" customWidth="1"/>
    <col min="54" max="54" width="6.8515625" style="3" customWidth="1"/>
    <col min="55" max="55" width="10.7109375" style="49" customWidth="1"/>
    <col min="56" max="56" width="6.8515625" style="3" customWidth="1"/>
    <col min="57" max="57" width="10.7109375" style="49" customWidth="1"/>
    <col min="58" max="58" width="6.8515625" style="3" customWidth="1"/>
    <col min="59" max="59" width="10.7109375" style="49" customWidth="1"/>
    <col min="60" max="60" width="6.8515625" style="3" customWidth="1"/>
    <col min="61" max="61" width="10.7109375" style="49" customWidth="1"/>
    <col min="62" max="62" width="6.8515625" style="3" customWidth="1"/>
    <col min="63" max="63" width="10.7109375" style="49" customWidth="1"/>
    <col min="64" max="64" width="6.8515625" style="3" customWidth="1"/>
    <col min="65" max="65" width="10.7109375" style="49" customWidth="1"/>
    <col min="66" max="66" width="6.8515625" style="3" customWidth="1"/>
    <col min="67" max="67" width="10.7109375" style="49" customWidth="1"/>
    <col min="68" max="97" width="9.140625" style="1" customWidth="1"/>
    <col min="98" max="98" width="2.57421875" style="81" customWidth="1"/>
    <col min="99" max="16384" width="9.140625" style="1" customWidth="1"/>
  </cols>
  <sheetData>
    <row r="1" spans="1:39" ht="15.75">
      <c r="A1" s="139" t="s">
        <v>1063</v>
      </c>
      <c r="AH1" s="82"/>
      <c r="AM1" s="83"/>
    </row>
    <row r="2" spans="1:98" ht="12.75">
      <c r="A2" s="59"/>
      <c r="B2" s="56">
        <f>COUNTA(B4:B743)</f>
        <v>712</v>
      </c>
      <c r="C2" s="36" t="s">
        <v>858</v>
      </c>
      <c r="D2" s="140">
        <v>40203</v>
      </c>
      <c r="E2" s="59"/>
      <c r="F2" s="59"/>
      <c r="G2" s="84"/>
      <c r="H2" s="85"/>
      <c r="K2" s="57"/>
      <c r="Y2" s="58">
        <v>6.766983999999999E-16</v>
      </c>
      <c r="AB2" s="59"/>
      <c r="AH2" s="30"/>
      <c r="AJ2" s="2"/>
      <c r="AK2" s="20" t="s">
        <v>1825</v>
      </c>
      <c r="AL2" s="53">
        <v>27</v>
      </c>
      <c r="AM2" s="59"/>
      <c r="AN2" s="60">
        <v>1</v>
      </c>
      <c r="AO2" s="61"/>
      <c r="AP2" s="60">
        <v>2</v>
      </c>
      <c r="AQ2" s="61"/>
      <c r="AR2" s="60">
        <v>3</v>
      </c>
      <c r="AS2" s="61"/>
      <c r="AT2" s="60">
        <v>4</v>
      </c>
      <c r="AU2" s="61"/>
      <c r="AV2" s="60">
        <v>5</v>
      </c>
      <c r="AW2" s="61"/>
      <c r="AX2" s="60">
        <v>6</v>
      </c>
      <c r="AY2" s="61"/>
      <c r="AZ2" s="60">
        <v>7</v>
      </c>
      <c r="BA2" s="61"/>
      <c r="BB2" s="60">
        <v>8</v>
      </c>
      <c r="BC2" s="61"/>
      <c r="BD2" s="60">
        <v>9</v>
      </c>
      <c r="BE2" s="61"/>
      <c r="BF2" s="60">
        <v>10</v>
      </c>
      <c r="BG2" s="61"/>
      <c r="BH2" s="60">
        <v>11</v>
      </c>
      <c r="BI2" s="61"/>
      <c r="BJ2" s="60">
        <v>12</v>
      </c>
      <c r="BK2" s="61"/>
      <c r="BL2" s="60">
        <v>13</v>
      </c>
      <c r="BM2" s="61"/>
      <c r="BN2" s="60">
        <v>14</v>
      </c>
      <c r="BO2" s="61"/>
      <c r="BP2" s="60">
        <v>15</v>
      </c>
      <c r="BQ2" s="61"/>
      <c r="BR2" s="60">
        <v>16</v>
      </c>
      <c r="BS2" s="61"/>
      <c r="BT2" s="60">
        <v>17</v>
      </c>
      <c r="BU2" s="61"/>
      <c r="BV2" s="60">
        <v>18</v>
      </c>
      <c r="BW2" s="61"/>
      <c r="BX2" s="60">
        <v>19</v>
      </c>
      <c r="BY2" s="61"/>
      <c r="BZ2" s="60">
        <v>20</v>
      </c>
      <c r="CA2" s="61"/>
      <c r="CB2" s="60">
        <v>21</v>
      </c>
      <c r="CC2" s="61"/>
      <c r="CD2" s="60">
        <v>22</v>
      </c>
      <c r="CE2" s="61"/>
      <c r="CF2" s="60">
        <v>23</v>
      </c>
      <c r="CG2" s="61"/>
      <c r="CH2" s="60">
        <v>24</v>
      </c>
      <c r="CI2" s="61"/>
      <c r="CJ2" s="60">
        <v>25</v>
      </c>
      <c r="CK2" s="61"/>
      <c r="CL2" s="60">
        <v>26</v>
      </c>
      <c r="CM2" s="61"/>
      <c r="CN2" s="60">
        <v>27</v>
      </c>
      <c r="CO2" s="61"/>
      <c r="CP2" s="60">
        <v>0</v>
      </c>
      <c r="CQ2" s="61"/>
      <c r="CR2" s="60">
        <v>0</v>
      </c>
      <c r="CS2" s="61"/>
      <c r="CT2" s="62">
        <v>0</v>
      </c>
    </row>
    <row r="3" spans="1:98" s="44" customFormat="1" ht="12.75">
      <c r="A3" s="87"/>
      <c r="B3" s="22" t="s">
        <v>1826</v>
      </c>
      <c r="C3" s="88" t="s">
        <v>1827</v>
      </c>
      <c r="D3" s="23" t="s">
        <v>1828</v>
      </c>
      <c r="E3" s="23"/>
      <c r="F3" s="25"/>
      <c r="G3" s="25"/>
      <c r="H3" s="21"/>
      <c r="I3" s="22"/>
      <c r="J3" s="23"/>
      <c r="K3" s="23" t="s">
        <v>1829</v>
      </c>
      <c r="L3" s="24"/>
      <c r="M3" s="25"/>
      <c r="N3" s="23" t="s">
        <v>1830</v>
      </c>
      <c r="O3" s="25"/>
      <c r="P3" s="26"/>
      <c r="Q3" s="25" t="s">
        <v>1831</v>
      </c>
      <c r="R3" s="25"/>
      <c r="S3" s="23" t="s">
        <v>1832</v>
      </c>
      <c r="T3" s="23"/>
      <c r="U3" s="25"/>
      <c r="V3" s="27">
        <v>1</v>
      </c>
      <c r="W3" s="27"/>
      <c r="X3" s="25"/>
      <c r="Y3" s="25"/>
      <c r="Z3" s="63"/>
      <c r="AA3" s="89" t="s">
        <v>1833</v>
      </c>
      <c r="AB3" s="90" t="s">
        <v>1834</v>
      </c>
      <c r="AC3" s="63"/>
      <c r="AD3" s="28"/>
      <c r="AE3" s="64">
        <v>5.21540641784668E-07</v>
      </c>
      <c r="AF3" s="65">
        <v>-1.7881393432617188E-07</v>
      </c>
      <c r="AG3" s="63"/>
      <c r="AH3" s="66"/>
      <c r="AI3" s="28"/>
      <c r="AJ3" s="28"/>
      <c r="AK3" s="28"/>
      <c r="AL3" s="28"/>
      <c r="AM3" s="67"/>
      <c r="AN3" s="54">
        <v>828</v>
      </c>
      <c r="AO3" s="28"/>
      <c r="AP3" s="54">
        <v>698</v>
      </c>
      <c r="AQ3" s="28"/>
      <c r="AR3" s="54">
        <v>271</v>
      </c>
      <c r="AS3" s="28"/>
      <c r="AT3" s="54">
        <v>182</v>
      </c>
      <c r="AU3" s="28"/>
      <c r="AV3" s="54">
        <v>157</v>
      </c>
      <c r="AW3" s="28"/>
      <c r="AX3" s="54">
        <v>137</v>
      </c>
      <c r="AY3" s="28"/>
      <c r="AZ3" s="54">
        <v>122</v>
      </c>
      <c r="BA3" s="28"/>
      <c r="BB3" s="54">
        <v>109</v>
      </c>
      <c r="BC3" s="28"/>
      <c r="BD3" s="54">
        <v>99</v>
      </c>
      <c r="BE3" s="28"/>
      <c r="BF3" s="54">
        <v>88</v>
      </c>
      <c r="BG3" s="28"/>
      <c r="BH3" s="54">
        <v>79</v>
      </c>
      <c r="BI3" s="28"/>
      <c r="BJ3" s="54">
        <v>69</v>
      </c>
      <c r="BK3" s="28"/>
      <c r="BL3" s="54">
        <v>57</v>
      </c>
      <c r="BM3" s="28"/>
      <c r="BN3" s="54">
        <v>45</v>
      </c>
      <c r="BO3" s="28"/>
      <c r="BP3" s="54">
        <v>41</v>
      </c>
      <c r="BR3" s="54">
        <v>36</v>
      </c>
      <c r="BT3" s="54">
        <v>27</v>
      </c>
      <c r="BV3" s="54">
        <v>20</v>
      </c>
      <c r="BX3" s="54">
        <v>15</v>
      </c>
      <c r="BZ3" s="54">
        <v>12</v>
      </c>
      <c r="CB3" s="54">
        <v>9</v>
      </c>
      <c r="CD3" s="54">
        <v>9</v>
      </c>
      <c r="CF3" s="54">
        <v>8</v>
      </c>
      <c r="CH3" s="54">
        <v>3</v>
      </c>
      <c r="CJ3" s="54">
        <v>1</v>
      </c>
      <c r="CL3" s="54">
        <v>1</v>
      </c>
      <c r="CN3" s="54">
        <v>1</v>
      </c>
      <c r="CP3" s="54">
        <v>0</v>
      </c>
      <c r="CR3" s="54">
        <v>0</v>
      </c>
      <c r="CT3" s="55">
        <v>0</v>
      </c>
    </row>
    <row r="4" spans="1:98" s="48" customFormat="1" ht="12.75">
      <c r="A4" s="30"/>
      <c r="B4" s="30"/>
      <c r="C4" s="30"/>
      <c r="D4" s="45">
        <v>300</v>
      </c>
      <c r="E4" s="31" t="s">
        <v>1835</v>
      </c>
      <c r="F4" s="33" t="s">
        <v>1836</v>
      </c>
      <c r="G4" s="33" t="s">
        <v>1824</v>
      </c>
      <c r="H4" s="29" t="s">
        <v>1837</v>
      </c>
      <c r="I4" s="30" t="s">
        <v>1838</v>
      </c>
      <c r="J4" s="31" t="s">
        <v>1839</v>
      </c>
      <c r="K4" s="31" t="s">
        <v>1835</v>
      </c>
      <c r="L4" s="32" t="s">
        <v>1840</v>
      </c>
      <c r="M4" s="33" t="s">
        <v>1824</v>
      </c>
      <c r="N4" s="31" t="s">
        <v>1841</v>
      </c>
      <c r="O4" s="33" t="s">
        <v>1840</v>
      </c>
      <c r="P4" s="34" t="s">
        <v>1842</v>
      </c>
      <c r="Q4" s="33" t="s">
        <v>1843</v>
      </c>
      <c r="R4" s="33" t="s">
        <v>1844</v>
      </c>
      <c r="S4" s="45">
        <v>300</v>
      </c>
      <c r="T4" s="46">
        <v>300</v>
      </c>
      <c r="U4" s="33" t="s">
        <v>1845</v>
      </c>
      <c r="V4" s="35" t="s">
        <v>1846</v>
      </c>
      <c r="W4" s="47">
        <v>300</v>
      </c>
      <c r="X4" s="33" t="s">
        <v>1847</v>
      </c>
      <c r="Y4" s="33" t="s">
        <v>1848</v>
      </c>
      <c r="Z4" s="68"/>
      <c r="AA4" s="59"/>
      <c r="AB4" s="91" t="s">
        <v>1849</v>
      </c>
      <c r="AC4" s="68"/>
      <c r="AD4" s="36" t="s">
        <v>1850</v>
      </c>
      <c r="AE4" s="68" t="s">
        <v>1851</v>
      </c>
      <c r="AF4" s="68" t="s">
        <v>1844</v>
      </c>
      <c r="AG4" s="68" t="s">
        <v>1852</v>
      </c>
      <c r="AH4" s="69"/>
      <c r="AI4" s="36"/>
      <c r="AJ4" s="36"/>
      <c r="AK4" s="36"/>
      <c r="AL4" s="36"/>
      <c r="AM4" s="70"/>
      <c r="AN4" s="71"/>
      <c r="AO4" s="36"/>
      <c r="AP4" s="71"/>
      <c r="AQ4" s="36"/>
      <c r="AR4" s="71"/>
      <c r="AS4" s="36"/>
      <c r="AT4" s="71"/>
      <c r="AU4" s="36"/>
      <c r="AV4" s="71"/>
      <c r="AW4" s="36"/>
      <c r="AX4" s="71"/>
      <c r="AY4" s="36"/>
      <c r="AZ4" s="71"/>
      <c r="BA4" s="36"/>
      <c r="BB4" s="71"/>
      <c r="BC4" s="36"/>
      <c r="BD4" s="71"/>
      <c r="BE4" s="36"/>
      <c r="BF4" s="71"/>
      <c r="BG4" s="36"/>
      <c r="BH4" s="71"/>
      <c r="BI4" s="36"/>
      <c r="BJ4" s="71"/>
      <c r="BK4" s="36"/>
      <c r="BL4" s="71"/>
      <c r="BM4" s="36"/>
      <c r="BN4" s="71"/>
      <c r="BO4" s="36"/>
      <c r="CT4" s="72"/>
    </row>
    <row r="5" spans="1:98" s="76" customFormat="1" ht="15">
      <c r="A5" s="13" t="s">
        <v>1853</v>
      </c>
      <c r="B5" s="49"/>
      <c r="C5" s="50"/>
      <c r="D5" s="95"/>
      <c r="E5" s="95"/>
      <c r="F5" s="96"/>
      <c r="G5" s="96"/>
      <c r="H5" s="37"/>
      <c r="I5" s="38"/>
      <c r="J5" s="38"/>
      <c r="K5" s="109"/>
      <c r="L5" s="110"/>
      <c r="M5" s="111"/>
      <c r="N5" s="112"/>
      <c r="O5" s="111"/>
      <c r="P5" s="113"/>
      <c r="Q5" s="111"/>
      <c r="R5" s="3"/>
      <c r="S5" s="109"/>
      <c r="T5" s="109"/>
      <c r="U5" s="111"/>
      <c r="V5" s="112"/>
      <c r="W5" s="112"/>
      <c r="X5" s="3" t="s">
        <v>1845</v>
      </c>
      <c r="Y5" s="3"/>
      <c r="Z5" s="73"/>
      <c r="AA5" s="92"/>
      <c r="AB5" s="78"/>
      <c r="AC5" s="73"/>
      <c r="AD5" s="19"/>
      <c r="AE5" s="73"/>
      <c r="AF5" s="73"/>
      <c r="AG5" s="73"/>
      <c r="AH5" s="74"/>
      <c r="AI5" s="19"/>
      <c r="AJ5" s="19"/>
      <c r="AK5" s="19"/>
      <c r="AL5" s="19"/>
      <c r="AM5" s="75"/>
      <c r="AN5" s="51"/>
      <c r="AO5" s="19"/>
      <c r="AP5" s="51"/>
      <c r="AQ5" s="19"/>
      <c r="AR5" s="51"/>
      <c r="AS5" s="19"/>
      <c r="AT5" s="51"/>
      <c r="AU5" s="19"/>
      <c r="AV5" s="51"/>
      <c r="AW5" s="19"/>
      <c r="AX5" s="51"/>
      <c r="AY5" s="19"/>
      <c r="AZ5" s="51"/>
      <c r="BA5" s="19"/>
      <c r="BB5" s="51"/>
      <c r="BC5" s="19"/>
      <c r="BD5" s="51"/>
      <c r="BE5" s="19"/>
      <c r="BF5" s="51"/>
      <c r="BG5" s="19"/>
      <c r="BH5" s="51"/>
      <c r="BI5" s="19"/>
      <c r="BJ5" s="51"/>
      <c r="BK5" s="19"/>
      <c r="BL5" s="51"/>
      <c r="BM5" s="19"/>
      <c r="BN5" s="51"/>
      <c r="BO5" s="19"/>
      <c r="CT5" s="77"/>
    </row>
    <row r="6" spans="2:43" ht="15">
      <c r="B6" s="49">
        <v>1</v>
      </c>
      <c r="C6" s="14" t="s">
        <v>1854</v>
      </c>
      <c r="D6" s="97" t="str">
        <f>IF(H6="P",CONCATENATE("Phot Set= ",I6,IF(J6=0,"",CONCATENATE(", qy= ",TEXT(J6,"0.0e+0")))),H6)</f>
        <v>Phot Set= NO2-06</v>
      </c>
      <c r="E6" s="98"/>
      <c r="F6" s="98"/>
      <c r="G6" s="99"/>
      <c r="H6" s="39" t="s">
        <v>1856</v>
      </c>
      <c r="I6" s="49" t="s">
        <v>1857</v>
      </c>
      <c r="K6" s="109"/>
      <c r="L6" s="114"/>
      <c r="M6" s="115"/>
      <c r="N6" s="116"/>
      <c r="O6" s="117"/>
      <c r="P6" s="118"/>
      <c r="Q6" s="117"/>
      <c r="S6" s="116"/>
      <c r="T6" s="116"/>
      <c r="U6" s="109"/>
      <c r="V6" s="116"/>
      <c r="W6" s="116"/>
      <c r="X6" s="117"/>
      <c r="Y6" s="117"/>
      <c r="Z6" s="78"/>
      <c r="AB6" s="78" t="s">
        <v>1855</v>
      </c>
      <c r="AC6" s="78"/>
      <c r="AE6" s="2">
        <v>0</v>
      </c>
      <c r="AF6" s="2">
        <v>0</v>
      </c>
      <c r="AG6" s="2">
        <v>2</v>
      </c>
      <c r="AI6" s="49" t="s">
        <v>1420</v>
      </c>
      <c r="AJ6" s="49" t="s">
        <v>1412</v>
      </c>
      <c r="AN6" s="3">
        <v>1</v>
      </c>
      <c r="AO6" s="49" t="s">
        <v>1418</v>
      </c>
      <c r="AP6" s="3">
        <v>1</v>
      </c>
      <c r="AQ6" s="49" t="s">
        <v>1460</v>
      </c>
    </row>
    <row r="7" spans="2:25" ht="15">
      <c r="B7" s="49">
        <v>2</v>
      </c>
      <c r="C7" s="14" t="s">
        <v>1858</v>
      </c>
      <c r="D7" s="100">
        <f>IF(OR(H7="T",H7="C"),S7,H7)</f>
        <v>5.683784000000001E-34</v>
      </c>
      <c r="E7" s="100">
        <f>IF(H7="C","",K7)</f>
        <v>5.683784000000001E-34</v>
      </c>
      <c r="F7" s="101">
        <f>IF(H7="C","",U7)</f>
        <v>0</v>
      </c>
      <c r="G7" s="101">
        <f>IF(M7=0,"",M7)</f>
        <v>-2.6</v>
      </c>
      <c r="H7" s="39" t="s">
        <v>1859</v>
      </c>
      <c r="K7" s="119">
        <f>(6E-34*AtmO2)+(5.6E-34*AtmN2)</f>
        <v>5.683784000000001E-34</v>
      </c>
      <c r="L7" s="120">
        <v>0</v>
      </c>
      <c r="M7" s="117">
        <v>-2.6</v>
      </c>
      <c r="N7" s="116"/>
      <c r="O7" s="120"/>
      <c r="P7" s="118"/>
      <c r="Q7" s="117"/>
      <c r="S7" s="40">
        <f aca="true" t="shared" si="0" ref="S7:S70">IF(OR(H7="T",H7="C"),T7,IF(H7="F",(V7/(1+(V7/T7)))*Q7^(1/(1+((LOG10(V7/T7)/R7)^2))),IF(H7="S1",T7+V7,IF(H7="S2",T7+(V7/(1+(V7/T8))),""))))</f>
        <v>5.683784000000001E-34</v>
      </c>
      <c r="T7" s="40">
        <f>K7*EXP(-L7/T$4)*((T$4/300)^M7)</f>
        <v>5.683784000000001E-34</v>
      </c>
      <c r="U7" s="15">
        <f>L7*Rfac</f>
        <v>0</v>
      </c>
      <c r="X7" s="117"/>
      <c r="Y7" s="117"/>
    </row>
    <row r="8" spans="2:25" ht="15">
      <c r="B8" s="49">
        <v>3</v>
      </c>
      <c r="C8" s="14" t="s">
        <v>1860</v>
      </c>
      <c r="D8" s="100">
        <f>IF(OR(H8="T",H8="C"),S8,H8)</f>
        <v>8.33555544450749E-15</v>
      </c>
      <c r="E8" s="100">
        <f>IF(H8="C","",K8)</f>
        <v>8E-12</v>
      </c>
      <c r="F8" s="101">
        <f>IF(H8="C","",U8)</f>
        <v>4.093632</v>
      </c>
      <c r="G8" s="101">
        <f>IF(M8=0,"",M8)</f>
      </c>
      <c r="H8" s="39" t="s">
        <v>1859</v>
      </c>
      <c r="K8" s="116">
        <v>8E-12</v>
      </c>
      <c r="L8" s="120">
        <v>2060</v>
      </c>
      <c r="M8" s="117">
        <v>0</v>
      </c>
      <c r="N8" s="116"/>
      <c r="O8" s="120"/>
      <c r="P8" s="118"/>
      <c r="Q8" s="117"/>
      <c r="S8" s="40">
        <f t="shared" si="0"/>
        <v>8.33555544450749E-15</v>
      </c>
      <c r="T8" s="40">
        <f>K8*EXP(-L8/T$4)*((T$4/300)^M8)</f>
        <v>8.33555544450749E-15</v>
      </c>
      <c r="U8" s="15">
        <f>L8*Rfac</f>
        <v>4.093632</v>
      </c>
      <c r="X8" s="117"/>
      <c r="Y8" s="117"/>
    </row>
    <row r="9" spans="2:25" ht="15">
      <c r="B9" s="49">
        <v>4</v>
      </c>
      <c r="C9" s="14" t="s">
        <v>1862</v>
      </c>
      <c r="D9" s="100">
        <f>S9</f>
        <v>1.6406339886504153E-12</v>
      </c>
      <c r="E9" s="102" t="str">
        <f>IF(H9="F","Falloff, F="&amp;TEXT(Q9,"0.00")&amp;", N="&amp;TEXT(R9,"0.00"),H9)</f>
        <v>Falloff, F=0.60, N=1.00</v>
      </c>
      <c r="F9" s="103"/>
      <c r="G9" s="99"/>
      <c r="H9" s="39" t="s">
        <v>1843</v>
      </c>
      <c r="K9" s="116">
        <v>3E-11</v>
      </c>
      <c r="L9" s="120">
        <v>0</v>
      </c>
      <c r="M9" s="117">
        <v>0</v>
      </c>
      <c r="N9" s="116">
        <v>9E-32</v>
      </c>
      <c r="O9" s="120">
        <v>0</v>
      </c>
      <c r="P9" s="118">
        <v>-1.5</v>
      </c>
      <c r="Q9" s="117">
        <v>0.6</v>
      </c>
      <c r="R9" s="41">
        <v>1</v>
      </c>
      <c r="S9" s="40">
        <f t="shared" si="0"/>
        <v>1.6406339886504153E-12</v>
      </c>
      <c r="T9" s="40">
        <f>K9*EXP(-L9/T$4)*((T$4/300)^M9)</f>
        <v>3E-11</v>
      </c>
      <c r="U9" s="15">
        <f>L9*Rfac</f>
        <v>0</v>
      </c>
      <c r="V9" s="40">
        <f>W9*V$3*7.3395E+21/T$4</f>
        <v>2.20185E-12</v>
      </c>
      <c r="W9" s="40">
        <f>N9*EXP(-O9/T$4)*(T$4/300)^P9</f>
        <v>9E-32</v>
      </c>
      <c r="X9" s="15">
        <f>O9*Rfac</f>
        <v>0</v>
      </c>
      <c r="Y9" s="15"/>
    </row>
    <row r="10" spans="2:25" ht="15">
      <c r="B10" s="49" t="s">
        <v>1861</v>
      </c>
      <c r="D10" s="104" t="str">
        <f>IF(H9="F","0: ",H9)</f>
        <v>0: </v>
      </c>
      <c r="E10" s="100">
        <f>N9</f>
        <v>9E-32</v>
      </c>
      <c r="F10" s="101">
        <f>X9</f>
        <v>0</v>
      </c>
      <c r="G10" s="101">
        <f>P9</f>
        <v>-1.5</v>
      </c>
      <c r="K10" s="116"/>
      <c r="L10" s="120"/>
      <c r="M10" s="117"/>
      <c r="N10" s="116"/>
      <c r="O10" s="120"/>
      <c r="P10" s="118"/>
      <c r="Q10" s="117"/>
      <c r="S10" s="40">
        <f t="shared" si="0"/>
      </c>
      <c r="X10" s="117"/>
      <c r="Y10" s="117"/>
    </row>
    <row r="11" spans="2:25" ht="15">
      <c r="B11" s="49" t="s">
        <v>1861</v>
      </c>
      <c r="D11" s="104" t="str">
        <f>IF(H9="F","inf: ",H9)</f>
        <v>inf: </v>
      </c>
      <c r="E11" s="100">
        <f>K9</f>
        <v>3E-11</v>
      </c>
      <c r="F11" s="101">
        <f>U9</f>
        <v>0</v>
      </c>
      <c r="G11" s="101">
        <f>M9</f>
        <v>0</v>
      </c>
      <c r="K11" s="116"/>
      <c r="L11" s="120"/>
      <c r="M11" s="117"/>
      <c r="N11" s="116"/>
      <c r="O11" s="120"/>
      <c r="P11" s="118"/>
      <c r="Q11" s="117"/>
      <c r="S11" s="40">
        <f t="shared" si="0"/>
      </c>
      <c r="X11" s="117"/>
      <c r="Y11" s="117"/>
    </row>
    <row r="12" spans="2:25" ht="15">
      <c r="B12" s="49">
        <v>5</v>
      </c>
      <c r="C12" s="14" t="s">
        <v>1863</v>
      </c>
      <c r="D12" s="100">
        <f>IF(OR(H12="T",H12="C"),S12,H12)</f>
        <v>1.0292492633075457E-11</v>
      </c>
      <c r="E12" s="100">
        <f>IF(H12="C","",K12)</f>
        <v>5.5E-12</v>
      </c>
      <c r="F12" s="101">
        <f>IF(H12="C","",U12)</f>
        <v>-0.3735936</v>
      </c>
      <c r="G12" s="101">
        <f>IF(M12=0,"",M12)</f>
      </c>
      <c r="H12" s="39" t="s">
        <v>1859</v>
      </c>
      <c r="K12" s="116">
        <v>5.5E-12</v>
      </c>
      <c r="L12" s="120">
        <v>-188</v>
      </c>
      <c r="M12" s="117">
        <v>0</v>
      </c>
      <c r="N12" s="109"/>
      <c r="O12" s="109"/>
      <c r="P12" s="109"/>
      <c r="Q12" s="109"/>
      <c r="R12" s="38"/>
      <c r="S12" s="40">
        <f t="shared" si="0"/>
        <v>1.0292492633075457E-11</v>
      </c>
      <c r="T12" s="40">
        <f>K12*EXP(-L12/T$4)*((T$4/300)^M12)</f>
        <v>1.0292492633075457E-11</v>
      </c>
      <c r="U12" s="15">
        <f>L12*Rfac</f>
        <v>-0.3735936</v>
      </c>
      <c r="X12" s="121">
        <f>COLUMN(X6)</f>
        <v>24</v>
      </c>
      <c r="Y12" s="121"/>
    </row>
    <row r="13" spans="2:25" ht="15">
      <c r="B13" s="49">
        <v>6</v>
      </c>
      <c r="C13" s="14" t="s">
        <v>1864</v>
      </c>
      <c r="D13" s="100">
        <f>S13</f>
        <v>3.2395116952015907E-12</v>
      </c>
      <c r="E13" s="102" t="str">
        <f>IF(H13="F","Falloff, F="&amp;TEXT(Q13,"0.00")&amp;", N="&amp;TEXT(R13,"0.00"),H13)</f>
        <v>Falloff, F=0.60, N=1.00</v>
      </c>
      <c r="F13" s="103"/>
      <c r="G13" s="99"/>
      <c r="H13" s="39" t="s">
        <v>1843</v>
      </c>
      <c r="K13" s="116">
        <v>2.2E-11</v>
      </c>
      <c r="L13" s="120">
        <v>0</v>
      </c>
      <c r="M13" s="117">
        <v>-0.7</v>
      </c>
      <c r="N13" s="116">
        <v>2.5E-31</v>
      </c>
      <c r="O13" s="120">
        <v>0</v>
      </c>
      <c r="P13" s="118">
        <v>-1.8</v>
      </c>
      <c r="Q13" s="117">
        <v>0.6</v>
      </c>
      <c r="R13" s="41">
        <v>1</v>
      </c>
      <c r="S13" s="40">
        <f t="shared" si="0"/>
        <v>3.2395116952015907E-12</v>
      </c>
      <c r="T13" s="40">
        <f>K13*EXP(-L13/T$4)*((T$4/300)^M13)</f>
        <v>2.2E-11</v>
      </c>
      <c r="U13" s="15">
        <f>L13*Rfac</f>
        <v>0</v>
      </c>
      <c r="V13" s="40">
        <f>W13*V$3*7.3395E+21/T$4</f>
        <v>6.116250000000001E-12</v>
      </c>
      <c r="W13" s="40">
        <f>N13*EXP(-O13/T$4)*(T$4/300)^P13</f>
        <v>2.5E-31</v>
      </c>
      <c r="X13" s="15">
        <f>O13*Rfac</f>
        <v>0</v>
      </c>
      <c r="Y13" s="15"/>
    </row>
    <row r="14" spans="2:19" ht="15">
      <c r="B14" s="49" t="s">
        <v>1861</v>
      </c>
      <c r="D14" s="104" t="str">
        <f>IF(H13="F","0: ",H13)</f>
        <v>0: </v>
      </c>
      <c r="E14" s="100">
        <f>N13</f>
        <v>2.5E-31</v>
      </c>
      <c r="F14" s="101">
        <f>X13</f>
        <v>0</v>
      </c>
      <c r="G14" s="101">
        <f>P13</f>
        <v>-1.8</v>
      </c>
      <c r="K14" s="116"/>
      <c r="L14" s="120"/>
      <c r="M14" s="117"/>
      <c r="N14" s="116"/>
      <c r="O14" s="120"/>
      <c r="P14" s="118"/>
      <c r="Q14" s="117"/>
      <c r="S14" s="40">
        <f t="shared" si="0"/>
      </c>
    </row>
    <row r="15" spans="2:19" ht="15">
      <c r="B15" s="49" t="s">
        <v>1861</v>
      </c>
      <c r="D15" s="104" t="str">
        <f>IF(H13="F","inf: ",H13)</f>
        <v>inf: </v>
      </c>
      <c r="E15" s="100">
        <f>K13</f>
        <v>2.2E-11</v>
      </c>
      <c r="F15" s="101">
        <f>U13</f>
        <v>0</v>
      </c>
      <c r="G15" s="101">
        <f>M13</f>
        <v>-0.7</v>
      </c>
      <c r="K15" s="116"/>
      <c r="L15" s="120"/>
      <c r="M15" s="117"/>
      <c r="N15" s="116"/>
      <c r="O15" s="120"/>
      <c r="P15" s="118"/>
      <c r="Q15" s="117"/>
      <c r="S15" s="40">
        <f t="shared" si="0"/>
      </c>
    </row>
    <row r="16" spans="2:25" ht="15">
      <c r="B16" s="49">
        <v>7</v>
      </c>
      <c r="C16" s="14" t="s">
        <v>1865</v>
      </c>
      <c r="D16" s="100">
        <f>IF(OR(H16="T",H16="C"),S16,H16)</f>
        <v>2.02138409972564E-14</v>
      </c>
      <c r="E16" s="100">
        <f>IF(H16="C","",K16)</f>
        <v>3E-12</v>
      </c>
      <c r="F16" s="101">
        <f>IF(H16="C","",U16)</f>
        <v>2.9808000000000003</v>
      </c>
      <c r="G16" s="101">
        <f>IF(M16=0,"",M16)</f>
      </c>
      <c r="H16" s="39" t="s">
        <v>1859</v>
      </c>
      <c r="K16" s="116">
        <v>3E-12</v>
      </c>
      <c r="L16" s="120">
        <v>1500</v>
      </c>
      <c r="M16" s="117">
        <v>0</v>
      </c>
      <c r="N16" s="116"/>
      <c r="O16" s="120"/>
      <c r="P16" s="118"/>
      <c r="Q16" s="117"/>
      <c r="S16" s="40">
        <f t="shared" si="0"/>
        <v>2.02138409972564E-14</v>
      </c>
      <c r="T16" s="40">
        <f>K16*EXP(-L16/T$4)*((T$4/300)^M16)</f>
        <v>2.02138409972564E-14</v>
      </c>
      <c r="U16" s="15">
        <f>L16*Rfac</f>
        <v>2.9808000000000003</v>
      </c>
      <c r="V16" s="116"/>
      <c r="W16" s="116"/>
      <c r="X16" s="117"/>
      <c r="Y16" s="117"/>
    </row>
    <row r="17" spans="2:25" ht="15">
      <c r="B17" s="49">
        <v>8</v>
      </c>
      <c r="C17" s="14" t="s">
        <v>1866</v>
      </c>
      <c r="D17" s="100">
        <f>IF(OR(H17="T",H17="C"),S17,H17)</f>
        <v>3.719090969046845E-17</v>
      </c>
      <c r="E17" s="100">
        <f>IF(H17="C","",K17)</f>
        <v>1.4E-13</v>
      </c>
      <c r="F17" s="101">
        <f>IF(H17="C","",U17)</f>
        <v>4.908384000000001</v>
      </c>
      <c r="G17" s="101">
        <f>IF(M17=0,"",M17)</f>
      </c>
      <c r="H17" s="39" t="s">
        <v>1859</v>
      </c>
      <c r="K17" s="116">
        <v>1.4E-13</v>
      </c>
      <c r="L17" s="120">
        <v>2470</v>
      </c>
      <c r="M17" s="117">
        <v>0</v>
      </c>
      <c r="N17" s="116"/>
      <c r="O17" s="120"/>
      <c r="P17" s="118"/>
      <c r="Q17" s="117"/>
      <c r="S17" s="40">
        <f t="shared" si="0"/>
        <v>3.719090969046845E-17</v>
      </c>
      <c r="T17" s="40">
        <f>K17*EXP(-L17/T$4)*((T$4/300)^M17)</f>
        <v>3.719090969046845E-17</v>
      </c>
      <c r="U17" s="15">
        <f>L17*Rfac</f>
        <v>4.908384000000001</v>
      </c>
      <c r="V17" s="116"/>
      <c r="W17" s="116"/>
      <c r="X17" s="117"/>
      <c r="Y17" s="117"/>
    </row>
    <row r="18" spans="2:25" ht="15">
      <c r="B18" s="49">
        <v>9</v>
      </c>
      <c r="C18" s="14" t="s">
        <v>1867</v>
      </c>
      <c r="D18" s="100">
        <f>IF(OR(H18="T",H18="C"),S18,H18)</f>
        <v>2.5972503599796064E-11</v>
      </c>
      <c r="E18" s="100">
        <f>IF(H18="C","",K18)</f>
        <v>1.8E-11</v>
      </c>
      <c r="F18" s="101">
        <f>IF(H18="C","",U18)</f>
        <v>-0.218592</v>
      </c>
      <c r="G18" s="101">
        <f>IF(M18=0,"",M18)</f>
      </c>
      <c r="H18" s="39" t="s">
        <v>1859</v>
      </c>
      <c r="K18" s="116">
        <v>1.8E-11</v>
      </c>
      <c r="L18" s="120">
        <v>-110</v>
      </c>
      <c r="M18" s="117">
        <v>0</v>
      </c>
      <c r="N18" s="116"/>
      <c r="O18" s="120"/>
      <c r="P18" s="118"/>
      <c r="Q18" s="117"/>
      <c r="S18" s="40">
        <f t="shared" si="0"/>
        <v>2.5972503599796064E-11</v>
      </c>
      <c r="T18" s="40">
        <f>K18*EXP(-L18/T$4)*((T$4/300)^M18)</f>
        <v>2.5972503599796064E-11</v>
      </c>
      <c r="U18" s="15">
        <f>L18*Rfac</f>
        <v>-0.218592</v>
      </c>
      <c r="V18" s="116"/>
      <c r="W18" s="116"/>
      <c r="X18" s="117"/>
      <c r="Y18" s="117"/>
    </row>
    <row r="19" spans="2:25" ht="15">
      <c r="B19" s="49">
        <v>10</v>
      </c>
      <c r="C19" s="14" t="s">
        <v>1868</v>
      </c>
      <c r="D19" s="100">
        <f>IF(OR(H19="T",H19="C"),S19,H19)</f>
        <v>1.9309344218407133E-38</v>
      </c>
      <c r="E19" s="100">
        <f>IF(H19="C","",K19)</f>
        <v>3.3E-39</v>
      </c>
      <c r="F19" s="101">
        <f>IF(H19="C","",U19)</f>
        <v>-1.0532160000000002</v>
      </c>
      <c r="G19" s="101">
        <f>IF(M19=0,"",M19)</f>
      </c>
      <c r="H19" s="39" t="s">
        <v>1859</v>
      </c>
      <c r="K19" s="116">
        <v>3.3E-39</v>
      </c>
      <c r="L19" s="120">
        <v>-530</v>
      </c>
      <c r="M19" s="117">
        <v>0</v>
      </c>
      <c r="N19" s="116"/>
      <c r="O19" s="120"/>
      <c r="P19" s="118"/>
      <c r="Q19" s="117"/>
      <c r="S19" s="40">
        <f t="shared" si="0"/>
        <v>1.9309344218407133E-38</v>
      </c>
      <c r="T19" s="40">
        <f>K19*EXP(-L19/T$4)*((T$4/300)^M19)</f>
        <v>1.9309344218407133E-38</v>
      </c>
      <c r="U19" s="15">
        <f>L19*Rfac</f>
        <v>-1.0532160000000002</v>
      </c>
      <c r="V19" s="116"/>
      <c r="W19" s="116"/>
      <c r="X19" s="117"/>
      <c r="Y19" s="117"/>
    </row>
    <row r="20" spans="2:25" ht="15">
      <c r="B20" s="49">
        <v>11</v>
      </c>
      <c r="C20" s="14" t="s">
        <v>1869</v>
      </c>
      <c r="D20" s="100">
        <f>S20</f>
        <v>1.2364755471612923E-12</v>
      </c>
      <c r="E20" s="102" t="str">
        <f>IF(H20="F","Falloff, F="&amp;TEXT(Q20,"0.00")&amp;", N="&amp;TEXT(R20,"0.00"),H20)</f>
        <v>Falloff, F=0.35, N=1.33</v>
      </c>
      <c r="F20" s="103"/>
      <c r="G20" s="99"/>
      <c r="H20" s="39" t="s">
        <v>1843</v>
      </c>
      <c r="K20" s="116">
        <v>1.9E-12</v>
      </c>
      <c r="L20" s="120">
        <v>0</v>
      </c>
      <c r="M20" s="117">
        <v>0.2</v>
      </c>
      <c r="N20" s="116">
        <v>3.6E-30</v>
      </c>
      <c r="O20" s="120">
        <v>0</v>
      </c>
      <c r="P20" s="118">
        <v>-4.1</v>
      </c>
      <c r="Q20" s="117">
        <v>0.35</v>
      </c>
      <c r="R20" s="15">
        <f>0.75-(1.27*LOG10(Q20))</f>
        <v>1.32903358367515</v>
      </c>
      <c r="S20" s="40">
        <f t="shared" si="0"/>
        <v>1.2364755471612923E-12</v>
      </c>
      <c r="T20" s="40">
        <f>K20*EXP(-L20/T$4)*((T$4/300)^M20)</f>
        <v>1.9E-12</v>
      </c>
      <c r="U20" s="15">
        <f>L20*Rfac</f>
        <v>0</v>
      </c>
      <c r="V20" s="40">
        <f>W20*V$3*7.3395E+21/T$4</f>
        <v>8.807400000000001E-11</v>
      </c>
      <c r="W20" s="40">
        <f>N20*EXP(-O20/T$4)*(T$4/300)^P20</f>
        <v>3.6E-30</v>
      </c>
      <c r="X20" s="15">
        <f>O20*Rfac</f>
        <v>0</v>
      </c>
      <c r="Y20" s="15"/>
    </row>
    <row r="21" spans="2:19" ht="15">
      <c r="B21" s="49" t="s">
        <v>1861</v>
      </c>
      <c r="D21" s="104" t="str">
        <f>IF(H20="F","0: ",H20)</f>
        <v>0: </v>
      </c>
      <c r="E21" s="100">
        <f>N20</f>
        <v>3.6E-30</v>
      </c>
      <c r="F21" s="101">
        <f>X20</f>
        <v>0</v>
      </c>
      <c r="G21" s="101">
        <f>P20</f>
        <v>-4.1</v>
      </c>
      <c r="K21" s="116"/>
      <c r="L21" s="120"/>
      <c r="M21" s="117"/>
      <c r="N21" s="116"/>
      <c r="O21" s="120"/>
      <c r="P21" s="118"/>
      <c r="Q21" s="117"/>
      <c r="S21" s="40">
        <f t="shared" si="0"/>
      </c>
    </row>
    <row r="22" spans="2:19" ht="15">
      <c r="B22" s="49" t="s">
        <v>1861</v>
      </c>
      <c r="D22" s="104" t="str">
        <f>IF(H20="F","inf: ",H20)</f>
        <v>inf: </v>
      </c>
      <c r="E22" s="100">
        <f>K20</f>
        <v>1.9E-12</v>
      </c>
      <c r="F22" s="101">
        <f>U20</f>
        <v>0</v>
      </c>
      <c r="G22" s="101">
        <f>M20</f>
        <v>0.2</v>
      </c>
      <c r="K22" s="116"/>
      <c r="L22" s="120"/>
      <c r="M22" s="117"/>
      <c r="N22" s="116"/>
      <c r="O22" s="120"/>
      <c r="P22" s="118"/>
      <c r="Q22" s="117"/>
      <c r="S22" s="40">
        <f t="shared" si="0"/>
      </c>
    </row>
    <row r="23" spans="2:25" ht="15">
      <c r="B23" s="49">
        <v>12</v>
      </c>
      <c r="C23" s="14" t="s">
        <v>1870</v>
      </c>
      <c r="D23" s="100">
        <f>S23</f>
        <v>0.05687716980975415</v>
      </c>
      <c r="E23" s="102" t="str">
        <f>IF(H23="F","Falloff, F="&amp;TEXT(Q23,"0.00")&amp;", N="&amp;TEXT(R23,"0.00"),H23)</f>
        <v>Falloff, F=0.35, N=1.33</v>
      </c>
      <c r="F23" s="103"/>
      <c r="G23" s="99"/>
      <c r="H23" s="39" t="s">
        <v>1843</v>
      </c>
      <c r="K23" s="116">
        <v>970000000000000</v>
      </c>
      <c r="L23" s="120">
        <v>11080</v>
      </c>
      <c r="M23" s="117">
        <v>0.1</v>
      </c>
      <c r="N23" s="116">
        <v>0.0013</v>
      </c>
      <c r="O23" s="120">
        <v>11000</v>
      </c>
      <c r="P23" s="118">
        <v>-3.5</v>
      </c>
      <c r="Q23" s="117">
        <v>0.35</v>
      </c>
      <c r="R23" s="15">
        <f>0.75-(1.27*LOG10(Q23))</f>
        <v>1.32903358367515</v>
      </c>
      <c r="S23" s="40">
        <f t="shared" si="0"/>
        <v>0.05687716980975415</v>
      </c>
      <c r="T23" s="40">
        <f>K23*EXP(-L23/T$4)*((T$4/300)^M23)</f>
        <v>0.08847669049410709</v>
      </c>
      <c r="U23" s="15">
        <f>L23*Rfac</f>
        <v>22.018176</v>
      </c>
      <c r="V23" s="40">
        <f>W23*V$3*7.3395E+21/T$4</f>
        <v>3.7875429755561223</v>
      </c>
      <c r="W23" s="40">
        <f>N23*EXP(-O23/T$4)*(T$4/300)^P23</f>
        <v>1.5481475477441741E-19</v>
      </c>
      <c r="X23" s="15">
        <f>O23*Rfac</f>
        <v>21.8592</v>
      </c>
      <c r="Y23" s="15"/>
    </row>
    <row r="24" spans="2:19" ht="15">
      <c r="B24" s="49" t="s">
        <v>1861</v>
      </c>
      <c r="D24" s="104" t="str">
        <f>IF(H23="F","0: ",H23)</f>
        <v>0: </v>
      </c>
      <c r="E24" s="100">
        <f>N23</f>
        <v>0.0013</v>
      </c>
      <c r="F24" s="101">
        <f>X23</f>
        <v>21.8592</v>
      </c>
      <c r="G24" s="101">
        <f>P23</f>
        <v>-3.5</v>
      </c>
      <c r="K24" s="116"/>
      <c r="L24" s="120"/>
      <c r="M24" s="117"/>
      <c r="N24" s="116"/>
      <c r="O24" s="120"/>
      <c r="P24" s="118"/>
      <c r="Q24" s="117"/>
      <c r="S24" s="40">
        <f t="shared" si="0"/>
      </c>
    </row>
    <row r="25" spans="2:19" ht="15">
      <c r="B25" s="49" t="s">
        <v>1861</v>
      </c>
      <c r="D25" s="104" t="str">
        <f>IF(H23="F","inf: ",H23)</f>
        <v>inf: </v>
      </c>
      <c r="E25" s="100">
        <f>K23</f>
        <v>970000000000000</v>
      </c>
      <c r="F25" s="101">
        <f>U23</f>
        <v>22.018176</v>
      </c>
      <c r="G25" s="101">
        <f>M23</f>
        <v>0.1</v>
      </c>
      <c r="K25" s="116"/>
      <c r="L25" s="120"/>
      <c r="M25" s="117"/>
      <c r="N25" s="116"/>
      <c r="O25" s="120"/>
      <c r="P25" s="118"/>
      <c r="Q25" s="117"/>
      <c r="S25" s="40">
        <f t="shared" si="0"/>
      </c>
    </row>
    <row r="26" spans="2:25" ht="15">
      <c r="B26" s="49">
        <v>13</v>
      </c>
      <c r="C26" s="14" t="s">
        <v>1871</v>
      </c>
      <c r="D26" s="100">
        <f>IF(OR(H26="T",H26="C"),S26,H26)</f>
        <v>2.5E-22</v>
      </c>
      <c r="E26" s="100"/>
      <c r="F26" s="101">
        <f>IF(H26="C","",U26)</f>
      </c>
      <c r="G26" s="101">
        <f>IF(M26=0,"",M26)</f>
      </c>
      <c r="H26" s="39" t="s">
        <v>1851</v>
      </c>
      <c r="K26" s="116">
        <v>2.5E-22</v>
      </c>
      <c r="L26" s="120"/>
      <c r="M26" s="117"/>
      <c r="N26" s="116"/>
      <c r="O26" s="120"/>
      <c r="P26" s="118"/>
      <c r="Q26" s="117"/>
      <c r="S26" s="40">
        <f t="shared" si="0"/>
        <v>2.5E-22</v>
      </c>
      <c r="T26" s="40">
        <f>K26*EXP(-L26/T$4)*((T$4/300)^M26)</f>
        <v>2.5E-22</v>
      </c>
      <c r="U26" s="117"/>
      <c r="V26" s="116"/>
      <c r="W26" s="116"/>
      <c r="X26" s="117"/>
      <c r="Y26" s="117"/>
    </row>
    <row r="27" spans="2:25" ht="15">
      <c r="B27" s="49">
        <v>14</v>
      </c>
      <c r="C27" s="14" t="s">
        <v>1872</v>
      </c>
      <c r="D27" s="100">
        <f>IF(OR(H27="T",H27="C"),S27,H27)</f>
        <v>1.8E-39</v>
      </c>
      <c r="E27" s="100"/>
      <c r="F27" s="101">
        <f>IF(H27="C","",U27)</f>
      </c>
      <c r="G27" s="101">
        <f>IF(M27=0,"",M27)</f>
      </c>
      <c r="H27" s="39" t="s">
        <v>1851</v>
      </c>
      <c r="K27" s="116">
        <v>1.8E-39</v>
      </c>
      <c r="L27" s="120"/>
      <c r="M27" s="117"/>
      <c r="N27" s="116"/>
      <c r="O27" s="120"/>
      <c r="P27" s="118"/>
      <c r="Q27" s="117"/>
      <c r="S27" s="40">
        <f t="shared" si="0"/>
        <v>1.8E-39</v>
      </c>
      <c r="T27" s="40">
        <f>K27*EXP(-L27/T$4)*((T$4/300)^M27)</f>
        <v>1.8E-39</v>
      </c>
      <c r="U27" s="117"/>
      <c r="V27" s="116"/>
      <c r="W27" s="116"/>
      <c r="X27" s="117"/>
      <c r="Y27" s="117"/>
    </row>
    <row r="28" spans="3:25" ht="15">
      <c r="C28" s="14" t="s">
        <v>1873</v>
      </c>
      <c r="D28" s="98" t="s">
        <v>1874</v>
      </c>
      <c r="E28" s="98"/>
      <c r="F28" s="98"/>
      <c r="G28" s="99"/>
      <c r="K28" s="116"/>
      <c r="L28" s="120"/>
      <c r="M28" s="117"/>
      <c r="N28" s="116"/>
      <c r="O28" s="120"/>
      <c r="P28" s="118"/>
      <c r="Q28" s="117"/>
      <c r="S28" s="40">
        <f t="shared" si="0"/>
      </c>
      <c r="T28" s="116"/>
      <c r="U28" s="117"/>
      <c r="V28" s="116"/>
      <c r="W28" s="116"/>
      <c r="X28" s="117"/>
      <c r="Y28" s="117"/>
    </row>
    <row r="29" spans="3:25" ht="15">
      <c r="C29" s="14" t="s">
        <v>1875</v>
      </c>
      <c r="D29" s="98" t="s">
        <v>1874</v>
      </c>
      <c r="E29" s="98"/>
      <c r="F29" s="98"/>
      <c r="G29" s="99"/>
      <c r="K29" s="116"/>
      <c r="L29" s="120"/>
      <c r="M29" s="117"/>
      <c r="N29" s="116"/>
      <c r="O29" s="120"/>
      <c r="P29" s="118"/>
      <c r="Q29" s="117"/>
      <c r="S29" s="40">
        <f t="shared" si="0"/>
      </c>
      <c r="T29" s="116"/>
      <c r="U29" s="117"/>
      <c r="V29" s="116"/>
      <c r="W29" s="116"/>
      <c r="X29" s="117"/>
      <c r="Y29" s="117"/>
    </row>
    <row r="30" spans="2:25" ht="15">
      <c r="B30" s="49">
        <v>15</v>
      </c>
      <c r="C30" s="14" t="s">
        <v>1876</v>
      </c>
      <c r="D30" s="100">
        <f>IF(OR(H30="T",H30="C"),S30,H30)</f>
        <v>6.748009569214966E-16</v>
      </c>
      <c r="E30" s="100">
        <f>IF(H30="C","",K30)</f>
        <v>4.5E-14</v>
      </c>
      <c r="F30" s="101">
        <f>IF(H30="C","",U30)</f>
        <v>2.5038720000000003</v>
      </c>
      <c r="G30" s="101">
        <f>IF(M30=0,"",M30)</f>
      </c>
      <c r="H30" s="39" t="s">
        <v>1859</v>
      </c>
      <c r="K30" s="116">
        <v>4.5E-14</v>
      </c>
      <c r="L30" s="120">
        <v>1260</v>
      </c>
      <c r="M30" s="117">
        <v>0</v>
      </c>
      <c r="N30" s="116"/>
      <c r="O30" s="120"/>
      <c r="P30" s="118"/>
      <c r="Q30" s="117"/>
      <c r="S30" s="40">
        <f t="shared" si="0"/>
        <v>6.748009569214966E-16</v>
      </c>
      <c r="T30" s="40">
        <f>K30*EXP(-L30/T$4)*((T$4/300)^M30)</f>
        <v>6.748009569214966E-16</v>
      </c>
      <c r="U30" s="15">
        <f>L30*Rfac</f>
        <v>2.5038720000000003</v>
      </c>
      <c r="V30" s="116"/>
      <c r="W30" s="116"/>
      <c r="X30" s="117"/>
      <c r="Y30" s="117"/>
    </row>
    <row r="31" spans="2:25" ht="15">
      <c r="B31" s="49">
        <v>16</v>
      </c>
      <c r="C31" s="14" t="s">
        <v>1877</v>
      </c>
      <c r="D31" s="97" t="str">
        <f>IF(H31="P",CONCATENATE("Phot Set= ",I31,IF(J31=0,"",CONCATENATE(", qy= ",TEXT(J31,"0.0e+0")))),H31)</f>
        <v>Phot Set= NO3NO-06</v>
      </c>
      <c r="E31" s="98"/>
      <c r="F31" s="98"/>
      <c r="G31" s="99"/>
      <c r="H31" s="39" t="s">
        <v>1856</v>
      </c>
      <c r="I31" s="49" t="s">
        <v>1878</v>
      </c>
      <c r="K31" s="116" t="s">
        <v>1861</v>
      </c>
      <c r="L31" s="120"/>
      <c r="M31" s="117"/>
      <c r="N31" s="116"/>
      <c r="O31" s="120"/>
      <c r="P31" s="118"/>
      <c r="Q31" s="117"/>
      <c r="S31" s="40">
        <f t="shared" si="0"/>
      </c>
      <c r="T31" s="116"/>
      <c r="U31" s="117"/>
      <c r="V31" s="116"/>
      <c r="W31" s="116"/>
      <c r="X31" s="117"/>
      <c r="Y31" s="117"/>
    </row>
    <row r="32" spans="2:25" ht="15">
      <c r="B32" s="49">
        <v>17</v>
      </c>
      <c r="C32" s="14" t="s">
        <v>1879</v>
      </c>
      <c r="D32" s="97" t="str">
        <f>IF(H32="P",CONCATENATE("Phot Set= ",I32,IF(J32=0,"",CONCATENATE(", qy= ",TEXT(J32,"0.0e+0")))),H32)</f>
        <v>Phot Set= NO3NO2-6</v>
      </c>
      <c r="E32" s="98"/>
      <c r="F32" s="98"/>
      <c r="G32" s="99"/>
      <c r="H32" s="39" t="s">
        <v>1856</v>
      </c>
      <c r="I32" s="49" t="s">
        <v>1880</v>
      </c>
      <c r="K32" s="116" t="s">
        <v>1861</v>
      </c>
      <c r="L32" s="120"/>
      <c r="M32" s="117"/>
      <c r="N32" s="116"/>
      <c r="O32" s="120"/>
      <c r="P32" s="118"/>
      <c r="Q32" s="117"/>
      <c r="S32" s="40">
        <f t="shared" si="0"/>
      </c>
      <c r="T32" s="116"/>
      <c r="U32" s="117"/>
      <c r="V32" s="116"/>
      <c r="W32" s="116"/>
      <c r="X32" s="117"/>
      <c r="Y32" s="117"/>
    </row>
    <row r="33" spans="2:25" ht="15">
      <c r="B33" s="49">
        <v>18</v>
      </c>
      <c r="C33" s="14" t="s">
        <v>1881</v>
      </c>
      <c r="D33" s="97" t="str">
        <f>IF(H33="P",CONCATENATE("Phot Set= ",I33,IF(J33=0,"",CONCATENATE(", qy= ",TEXT(J33,"0.0e+0")))),H33)</f>
        <v>Phot Set= O3O1D-06</v>
      </c>
      <c r="E33" s="98"/>
      <c r="F33" s="98"/>
      <c r="G33" s="99"/>
      <c r="H33" s="39" t="s">
        <v>1856</v>
      </c>
      <c r="I33" s="49" t="s">
        <v>1882</v>
      </c>
      <c r="K33" s="116" t="s">
        <v>1861</v>
      </c>
      <c r="L33" s="120"/>
      <c r="M33" s="117"/>
      <c r="N33" s="116"/>
      <c r="O33" s="120"/>
      <c r="P33" s="118"/>
      <c r="Q33" s="117"/>
      <c r="S33" s="40">
        <f t="shared" si="0"/>
      </c>
      <c r="T33" s="116"/>
      <c r="U33" s="117"/>
      <c r="V33" s="116"/>
      <c r="W33" s="116"/>
      <c r="X33" s="117"/>
      <c r="Y33" s="117"/>
    </row>
    <row r="34" spans="2:25" ht="15">
      <c r="B34" s="49">
        <v>19</v>
      </c>
      <c r="C34" s="14" t="s">
        <v>1883</v>
      </c>
      <c r="D34" s="97" t="str">
        <f>IF(H34="P",CONCATENATE("Phot Set= ",I34,IF(J34=0,"",CONCATENATE(", qy= ",TEXT(J34,"0.0e+0")))),H34)</f>
        <v>Phot Set= O3O3P-06</v>
      </c>
      <c r="E34" s="98"/>
      <c r="F34" s="98"/>
      <c r="G34" s="99"/>
      <c r="H34" s="39" t="s">
        <v>1856</v>
      </c>
      <c r="I34" s="49" t="s">
        <v>1884</v>
      </c>
      <c r="K34" s="116" t="s">
        <v>1861</v>
      </c>
      <c r="L34" s="120"/>
      <c r="M34" s="117"/>
      <c r="N34" s="116"/>
      <c r="O34" s="120"/>
      <c r="P34" s="118"/>
      <c r="Q34" s="117"/>
      <c r="S34" s="40">
        <f t="shared" si="0"/>
      </c>
      <c r="T34" s="116"/>
      <c r="U34" s="117"/>
      <c r="V34" s="116"/>
      <c r="W34" s="116"/>
      <c r="X34" s="117"/>
      <c r="Y34" s="117"/>
    </row>
    <row r="35" spans="2:25" ht="15">
      <c r="B35" s="49">
        <v>20</v>
      </c>
      <c r="C35" s="14" t="s">
        <v>1885</v>
      </c>
      <c r="D35" s="100">
        <f>IF(OR(H35="T",H35="C"),S35,H35)</f>
        <v>1.990886495801077E-10</v>
      </c>
      <c r="E35" s="100">
        <f>IF(H35="C","",K35)</f>
        <v>1.63E-10</v>
      </c>
      <c r="F35" s="101">
        <f>IF(H35="C","",U35)</f>
        <v>-0.119232</v>
      </c>
      <c r="G35" s="101">
        <f>IF(M35=0,"",M35)</f>
      </c>
      <c r="H35" s="39" t="s">
        <v>1859</v>
      </c>
      <c r="K35" s="116">
        <v>1.63E-10</v>
      </c>
      <c r="L35" s="120">
        <v>-60</v>
      </c>
      <c r="M35" s="117"/>
      <c r="N35" s="116"/>
      <c r="O35" s="120"/>
      <c r="P35" s="118"/>
      <c r="Q35" s="117"/>
      <c r="S35" s="40">
        <f t="shared" si="0"/>
        <v>1.990886495801077E-10</v>
      </c>
      <c r="T35" s="40">
        <f>K35*EXP(-L35/T$4)*((T$4/300)^M35)</f>
        <v>1.990886495801077E-10</v>
      </c>
      <c r="U35" s="15">
        <f>L35*Rfac</f>
        <v>-0.119232</v>
      </c>
      <c r="V35" s="116"/>
      <c r="W35" s="116"/>
      <c r="X35" s="117"/>
      <c r="Y35" s="117"/>
    </row>
    <row r="36" spans="2:25" ht="15">
      <c r="B36" s="49">
        <v>21</v>
      </c>
      <c r="C36" s="14" t="s">
        <v>1886</v>
      </c>
      <c r="D36" s="100">
        <f>IF(OR(H36="T",H36="C"),S36,H36)</f>
        <v>3.282701286268195E-11</v>
      </c>
      <c r="E36" s="100">
        <f>K36</f>
        <v>2.380403112789269E-11</v>
      </c>
      <c r="F36" s="101">
        <f>IF(H36="C","",U36)</f>
        <v>-0.19160391502311844</v>
      </c>
      <c r="G36" s="101">
        <f>IF(M36=0,"",M36)</f>
      </c>
      <c r="H36" s="39" t="s">
        <v>1859</v>
      </c>
      <c r="K36" s="116">
        <v>2.380403112789269E-11</v>
      </c>
      <c r="L36" s="120">
        <v>-96.41903936348552</v>
      </c>
      <c r="M36" s="117">
        <v>0</v>
      </c>
      <c r="N36" s="116"/>
      <c r="O36" s="120"/>
      <c r="P36" s="118"/>
      <c r="Q36" s="117"/>
      <c r="S36" s="40">
        <f t="shared" si="0"/>
        <v>3.282701286268195E-11</v>
      </c>
      <c r="T36" s="40">
        <f>K36*EXP(-L36/T$4)*((T$4/300)^M36)</f>
        <v>3.282701286268195E-11</v>
      </c>
      <c r="U36" s="15">
        <f>L36*Rfac</f>
        <v>-0.19160391502311844</v>
      </c>
      <c r="V36" s="116"/>
      <c r="W36" s="116"/>
      <c r="X36" s="117"/>
      <c r="Y36" s="117"/>
    </row>
    <row r="37" spans="2:25" ht="15">
      <c r="B37" s="49">
        <v>22</v>
      </c>
      <c r="C37" s="14" t="s">
        <v>0</v>
      </c>
      <c r="D37" s="100">
        <f>S37</f>
        <v>7.306554222687003E-12</v>
      </c>
      <c r="E37" s="102" t="str">
        <f>IF(H37="F","Falloff, F="&amp;TEXT(Q37,"0.00")&amp;", N="&amp;TEXT(R37,"0.00"),H37)</f>
        <v>Falloff, F=0.60, N=1.00</v>
      </c>
      <c r="F37" s="103"/>
      <c r="G37" s="99"/>
      <c r="H37" s="39" t="s">
        <v>1843</v>
      </c>
      <c r="K37" s="116">
        <v>3.6E-11</v>
      </c>
      <c r="L37" s="120">
        <v>0</v>
      </c>
      <c r="M37" s="117">
        <v>-0.1</v>
      </c>
      <c r="N37" s="116">
        <v>7E-31</v>
      </c>
      <c r="O37" s="120">
        <v>0</v>
      </c>
      <c r="P37" s="118">
        <v>-2.6</v>
      </c>
      <c r="Q37" s="117">
        <v>0.6</v>
      </c>
      <c r="R37" s="41">
        <v>1</v>
      </c>
      <c r="S37" s="40">
        <f t="shared" si="0"/>
        <v>7.306554222687003E-12</v>
      </c>
      <c r="T37" s="40">
        <f>K37*EXP(-L37/T$4)*((T$4/300)^M37)</f>
        <v>3.6E-11</v>
      </c>
      <c r="U37" s="15">
        <f>L37*Rfac</f>
        <v>0</v>
      </c>
      <c r="V37" s="40">
        <f>W37*V$3*7.3395E+21/T$4</f>
        <v>1.7125499999999997E-11</v>
      </c>
      <c r="W37" s="40">
        <f>N37*EXP(-O37/T$4)*(T$4/300)^P37</f>
        <v>7E-31</v>
      </c>
      <c r="X37" s="15">
        <f>O37*Rfac</f>
        <v>0</v>
      </c>
      <c r="Y37" s="15"/>
    </row>
    <row r="38" spans="2:19" ht="15">
      <c r="B38" s="49" t="s">
        <v>1861</v>
      </c>
      <c r="D38" s="104" t="str">
        <f>IF(H37="F","0: ",H37)</f>
        <v>0: </v>
      </c>
      <c r="E38" s="100">
        <f>N37</f>
        <v>7E-31</v>
      </c>
      <c r="F38" s="101">
        <f>X37</f>
        <v>0</v>
      </c>
      <c r="G38" s="101">
        <f>P37</f>
        <v>-2.6</v>
      </c>
      <c r="K38" s="116"/>
      <c r="L38" s="120"/>
      <c r="M38" s="117"/>
      <c r="N38" s="116"/>
      <c r="O38" s="120"/>
      <c r="P38" s="118"/>
      <c r="Q38" s="117"/>
      <c r="S38" s="40">
        <f t="shared" si="0"/>
      </c>
    </row>
    <row r="39" spans="2:19" ht="15">
      <c r="B39" s="49" t="s">
        <v>1861</v>
      </c>
      <c r="D39" s="104" t="str">
        <f>IF(H37="F","inf: ",H37)</f>
        <v>inf: </v>
      </c>
      <c r="E39" s="100">
        <f>K37</f>
        <v>3.6E-11</v>
      </c>
      <c r="F39" s="101">
        <f>U37</f>
        <v>0</v>
      </c>
      <c r="G39" s="101">
        <f>M37</f>
        <v>-0.1</v>
      </c>
      <c r="K39" s="116"/>
      <c r="L39" s="120"/>
      <c r="M39" s="117"/>
      <c r="N39" s="116"/>
      <c r="O39" s="120"/>
      <c r="P39" s="118"/>
      <c r="Q39" s="117"/>
      <c r="S39" s="40">
        <f t="shared" si="0"/>
      </c>
    </row>
    <row r="40" spans="2:25" ht="15">
      <c r="B40" s="49">
        <v>23</v>
      </c>
      <c r="C40" s="14" t="s">
        <v>1</v>
      </c>
      <c r="D40" s="97" t="str">
        <f>IF(H40="P",CONCATENATE("Phot Set= ",I40,IF(J40=0,"",CONCATENATE(", qy= ",TEXT(J40,"0.0e+0")))),H40)</f>
        <v>Phot Set= HONO-06</v>
      </c>
      <c r="E40" s="98"/>
      <c r="F40" s="98"/>
      <c r="G40" s="99"/>
      <c r="H40" s="39" t="s">
        <v>1856</v>
      </c>
      <c r="I40" s="49" t="s">
        <v>2</v>
      </c>
      <c r="K40" s="116" t="s">
        <v>1861</v>
      </c>
      <c r="L40" s="120">
        <v>0</v>
      </c>
      <c r="M40" s="117"/>
      <c r="N40" s="116"/>
      <c r="O40" s="120"/>
      <c r="P40" s="118"/>
      <c r="Q40" s="117"/>
      <c r="S40" s="40">
        <f t="shared" si="0"/>
      </c>
      <c r="T40" s="116"/>
      <c r="U40" s="117"/>
      <c r="V40" s="116"/>
      <c r="W40" s="116"/>
      <c r="X40" s="117"/>
      <c r="Y40" s="117"/>
    </row>
    <row r="41" spans="2:25" ht="15">
      <c r="B41" s="49">
        <v>24</v>
      </c>
      <c r="C41" s="14" t="s">
        <v>3</v>
      </c>
      <c r="D41" s="100">
        <f>IF(OR(H41="T",H41="C"),S41,H41)</f>
        <v>5.947419324766586E-12</v>
      </c>
      <c r="E41" s="100">
        <f>K41</f>
        <v>2.5E-12</v>
      </c>
      <c r="F41" s="101">
        <f>IF(H41="C","",U41)</f>
        <v>-0.516672</v>
      </c>
      <c r="G41" s="101">
        <f>IF(M41=0,"",M41)</f>
      </c>
      <c r="H41" s="39" t="s">
        <v>1859</v>
      </c>
      <c r="K41" s="116">
        <v>2.5E-12</v>
      </c>
      <c r="L41" s="120">
        <v>-260</v>
      </c>
      <c r="M41" s="117">
        <v>0</v>
      </c>
      <c r="N41" s="116"/>
      <c r="O41" s="120"/>
      <c r="P41" s="118"/>
      <c r="Q41" s="117"/>
      <c r="S41" s="40">
        <f t="shared" si="0"/>
        <v>5.947419324766586E-12</v>
      </c>
      <c r="T41" s="40">
        <f>K41*EXP(-L41/T$4)*((T$4/300)^M41)</f>
        <v>5.947419324766586E-12</v>
      </c>
      <c r="U41" s="15">
        <f>L41*Rfac</f>
        <v>-0.516672</v>
      </c>
      <c r="V41" s="116"/>
      <c r="W41" s="116"/>
      <c r="X41" s="117"/>
      <c r="Y41" s="117"/>
    </row>
    <row r="42" spans="2:25" ht="15">
      <c r="B42" s="49">
        <v>25</v>
      </c>
      <c r="C42" s="14" t="s">
        <v>4</v>
      </c>
      <c r="D42" s="100">
        <f>S42</f>
        <v>1.04672336966118E-11</v>
      </c>
      <c r="E42" s="102" t="str">
        <f>IF(H42="F","Falloff, F="&amp;TEXT(Q42,"0.00")&amp;", N="&amp;TEXT(R42,"0.00"),H42)</f>
        <v>Falloff, F=0.60, N=1.00</v>
      </c>
      <c r="F42" s="103"/>
      <c r="G42" s="99"/>
      <c r="H42" s="39" t="s">
        <v>1843</v>
      </c>
      <c r="K42" s="116">
        <v>2.8E-11</v>
      </c>
      <c r="L42" s="120">
        <v>0</v>
      </c>
      <c r="M42" s="117">
        <v>0</v>
      </c>
      <c r="N42" s="116">
        <v>1.8E-30</v>
      </c>
      <c r="O42" s="120">
        <v>0</v>
      </c>
      <c r="P42" s="118">
        <v>-3</v>
      </c>
      <c r="Q42" s="117">
        <v>0.6</v>
      </c>
      <c r="R42" s="41">
        <v>1</v>
      </c>
      <c r="S42" s="40">
        <f t="shared" si="0"/>
        <v>1.04672336966118E-11</v>
      </c>
      <c r="T42" s="40">
        <f>K42*EXP(-L42/T$4)*((T$4/300)^M42)</f>
        <v>2.8E-11</v>
      </c>
      <c r="U42" s="15">
        <f>L42*Rfac</f>
        <v>0</v>
      </c>
      <c r="V42" s="40">
        <f>W42*V$3*7.3395E+21/T$4</f>
        <v>4.4037000000000004E-11</v>
      </c>
      <c r="W42" s="40">
        <f>N42*EXP(-O42/T$4)*(T$4/300)^P42</f>
        <v>1.8E-30</v>
      </c>
      <c r="X42" s="15">
        <f>O42*Rfac</f>
        <v>0</v>
      </c>
      <c r="Y42" s="15"/>
    </row>
    <row r="43" spans="2:19" ht="15">
      <c r="B43" s="49" t="s">
        <v>1861</v>
      </c>
      <c r="D43" s="104" t="str">
        <f>IF(H42="F","0: ",H42)</f>
        <v>0: </v>
      </c>
      <c r="E43" s="100">
        <f>N42</f>
        <v>1.8E-30</v>
      </c>
      <c r="F43" s="101">
        <f>X42</f>
        <v>0</v>
      </c>
      <c r="G43" s="101">
        <f>P42</f>
        <v>-3</v>
      </c>
      <c r="K43" s="116"/>
      <c r="L43" s="120"/>
      <c r="M43" s="117"/>
      <c r="N43" s="116"/>
      <c r="O43" s="120"/>
      <c r="P43" s="118"/>
      <c r="Q43" s="117"/>
      <c r="S43" s="40">
        <f t="shared" si="0"/>
      </c>
    </row>
    <row r="44" spans="2:19" ht="15">
      <c r="B44" s="49" t="s">
        <v>1861</v>
      </c>
      <c r="D44" s="104" t="str">
        <f>IF(H42="F","inf: ",H42)</f>
        <v>inf: </v>
      </c>
      <c r="E44" s="100">
        <f>K42</f>
        <v>2.8E-11</v>
      </c>
      <c r="F44" s="101">
        <f>U42</f>
        <v>0</v>
      </c>
      <c r="G44" s="101">
        <f>M42</f>
        <v>0</v>
      </c>
      <c r="K44" s="116"/>
      <c r="L44" s="120"/>
      <c r="M44" s="117"/>
      <c r="N44" s="116"/>
      <c r="O44" s="120"/>
      <c r="P44" s="118"/>
      <c r="Q44" s="117"/>
      <c r="S44" s="40">
        <f t="shared" si="0"/>
      </c>
    </row>
    <row r="45" spans="2:25" ht="15">
      <c r="B45" s="49">
        <v>26</v>
      </c>
      <c r="C45" s="14" t="s">
        <v>5</v>
      </c>
      <c r="D45" s="100">
        <f>IF(OR(H45="T",H45="C"),S45,H45)</f>
        <v>2E-11</v>
      </c>
      <c r="E45" s="100"/>
      <c r="F45" s="101">
        <f>IF(H45="C","",U45)</f>
      </c>
      <c r="G45" s="101">
        <f>IF(M45=0,"",M45)</f>
      </c>
      <c r="H45" s="39" t="s">
        <v>1851</v>
      </c>
      <c r="K45" s="116">
        <v>2E-11</v>
      </c>
      <c r="L45" s="120"/>
      <c r="M45" s="117"/>
      <c r="N45" s="116"/>
      <c r="O45" s="120"/>
      <c r="P45" s="118"/>
      <c r="Q45" s="117"/>
      <c r="S45" s="40">
        <f t="shared" si="0"/>
        <v>2E-11</v>
      </c>
      <c r="T45" s="40">
        <f>K45*EXP(-L45/T$4)*((T$4/300)^M45)</f>
        <v>2E-11</v>
      </c>
      <c r="U45" s="117"/>
      <c r="V45" s="116"/>
      <c r="W45" s="116"/>
      <c r="X45" s="117"/>
      <c r="Y45" s="117"/>
    </row>
    <row r="46" spans="2:25" ht="15">
      <c r="B46" s="49">
        <v>27</v>
      </c>
      <c r="C46" s="14" t="s">
        <v>6</v>
      </c>
      <c r="D46" s="100">
        <f>S46</f>
        <v>1.5118248793139664E-13</v>
      </c>
      <c r="E46" s="102" t="str">
        <f>IF(H46="S2","k = k0+k3M/(1+k3M/k2)",H46)</f>
        <v>k = k0+k3M/(1+k3M/k2)</v>
      </c>
      <c r="F46" s="103"/>
      <c r="G46" s="99"/>
      <c r="H46" s="39" t="s">
        <v>7</v>
      </c>
      <c r="K46" s="116">
        <v>2.4E-14</v>
      </c>
      <c r="L46" s="120">
        <v>-460</v>
      </c>
      <c r="M46" s="117">
        <v>0</v>
      </c>
      <c r="N46" s="116">
        <v>6.5E-34</v>
      </c>
      <c r="O46" s="120">
        <v>-1335</v>
      </c>
      <c r="P46" s="118">
        <v>0</v>
      </c>
      <c r="Q46" s="117"/>
      <c r="S46" s="40">
        <f t="shared" si="0"/>
        <v>1.5118248793139664E-13</v>
      </c>
      <c r="T46" s="40">
        <f>K46*EXP(-L46/T$4)*((T$4/300)^M46)</f>
        <v>1.1120631432263324E-13</v>
      </c>
      <c r="U46" s="15">
        <f>L46*Rfac</f>
        <v>-0.914112</v>
      </c>
      <c r="V46" s="40">
        <f>W46*V$3*7.3395E+21/T$4</f>
        <v>1.3616610702589944E-12</v>
      </c>
      <c r="W46" s="40">
        <f>N46*EXP(-O46/T$4)*(T$4/300)^P46</f>
        <v>5.565751360143038E-32</v>
      </c>
      <c r="X46" s="15">
        <f>O46*Rfac</f>
        <v>-2.652912</v>
      </c>
      <c r="Y46" s="15"/>
    </row>
    <row r="47" spans="2:25" ht="15">
      <c r="B47" s="49" t="s">
        <v>1861</v>
      </c>
      <c r="D47" s="104" t="str">
        <f>IF(H46="S2","k0: ",H46)</f>
        <v>k0: </v>
      </c>
      <c r="E47" s="100">
        <f>K46</f>
        <v>2.4E-14</v>
      </c>
      <c r="F47" s="101">
        <f>U46</f>
        <v>-0.914112</v>
      </c>
      <c r="G47" s="101">
        <f>M46</f>
        <v>0</v>
      </c>
      <c r="K47" s="116">
        <v>2.7E-17</v>
      </c>
      <c r="L47" s="120">
        <v>-2199</v>
      </c>
      <c r="M47" s="117">
        <v>0</v>
      </c>
      <c r="N47" s="116"/>
      <c r="O47" s="117"/>
      <c r="P47" s="118"/>
      <c r="Q47" s="117"/>
      <c r="S47" s="40">
        <f t="shared" si="0"/>
      </c>
      <c r="T47" s="40">
        <f>K47*EXP(-L47/T$4)*((T$4/300)^M47)</f>
        <v>4.118530784374505E-14</v>
      </c>
      <c r="U47" s="15">
        <f>L47*Rfac</f>
        <v>-4.3698528</v>
      </c>
      <c r="V47" s="116"/>
      <c r="W47" s="116"/>
      <c r="X47" s="117"/>
      <c r="Y47" s="117"/>
    </row>
    <row r="48" spans="2:25" ht="15">
      <c r="B48" s="49" t="s">
        <v>1861</v>
      </c>
      <c r="D48" s="104" t="str">
        <f>IF(H46="S2","k2: ",H47)</f>
        <v>k2: </v>
      </c>
      <c r="E48" s="100">
        <f>K47</f>
        <v>2.7E-17</v>
      </c>
      <c r="F48" s="101">
        <f>U47</f>
        <v>-4.3698528</v>
      </c>
      <c r="G48" s="101">
        <f>M47</f>
        <v>0</v>
      </c>
      <c r="K48" s="116"/>
      <c r="L48" s="120"/>
      <c r="M48" s="117"/>
      <c r="N48" s="116"/>
      <c r="O48" s="117"/>
      <c r="P48" s="118"/>
      <c r="Q48" s="117"/>
      <c r="S48" s="40">
        <f t="shared" si="0"/>
      </c>
      <c r="V48" s="116"/>
      <c r="W48" s="116"/>
      <c r="X48" s="117"/>
      <c r="Y48" s="117"/>
    </row>
    <row r="49" spans="2:25" ht="15">
      <c r="B49" s="49" t="s">
        <v>1861</v>
      </c>
      <c r="D49" s="104" t="str">
        <f>IF(H46="S2","k3: ",H46)</f>
        <v>k3: </v>
      </c>
      <c r="E49" s="100">
        <f>N46</f>
        <v>6.5E-34</v>
      </c>
      <c r="F49" s="101">
        <f>X46</f>
        <v>-2.652912</v>
      </c>
      <c r="G49" s="101">
        <f>P46</f>
        <v>0</v>
      </c>
      <c r="K49" s="116"/>
      <c r="L49" s="120"/>
      <c r="M49" s="117"/>
      <c r="N49" s="116"/>
      <c r="O49" s="117"/>
      <c r="P49" s="118"/>
      <c r="Q49" s="117"/>
      <c r="S49" s="40">
        <f t="shared" si="0"/>
      </c>
      <c r="V49" s="116"/>
      <c r="W49" s="116"/>
      <c r="X49" s="117"/>
      <c r="Y49" s="117"/>
    </row>
    <row r="50" spans="2:25" ht="15">
      <c r="B50" s="49">
        <v>28</v>
      </c>
      <c r="C50" s="14" t="s">
        <v>8</v>
      </c>
      <c r="D50" s="97" t="str">
        <f>IF(H50="P",CONCATENATE("Phot Set= ",I50,IF(J50=0,"",CONCATENATE(", qy= ",TEXT(J50,"0.0e+0")))),H50)</f>
        <v>Phot Set= HNO3</v>
      </c>
      <c r="E50" s="98"/>
      <c r="F50" s="98"/>
      <c r="G50" s="99"/>
      <c r="H50" s="39" t="s">
        <v>1856</v>
      </c>
      <c r="I50" s="49" t="s">
        <v>1429</v>
      </c>
      <c r="K50" s="116"/>
      <c r="L50" s="120"/>
      <c r="M50" s="117"/>
      <c r="N50" s="116"/>
      <c r="O50" s="117"/>
      <c r="P50" s="118"/>
      <c r="Q50" s="117"/>
      <c r="S50" s="40">
        <f t="shared" si="0"/>
      </c>
      <c r="T50" s="116"/>
      <c r="U50" s="117"/>
      <c r="V50" s="116"/>
      <c r="W50" s="116"/>
      <c r="X50" s="117"/>
      <c r="Y50" s="117"/>
    </row>
    <row r="51" spans="2:25" ht="15">
      <c r="B51" s="49">
        <v>29</v>
      </c>
      <c r="C51" s="14" t="s">
        <v>9</v>
      </c>
      <c r="D51" s="100">
        <f>S51</f>
        <v>2.2788E-13</v>
      </c>
      <c r="E51" s="102" t="str">
        <f>IF(H51="S1","k = k1 + k2 [M]",H51)</f>
        <v>k = k1 + k2 [M]</v>
      </c>
      <c r="F51" s="103"/>
      <c r="G51" s="99"/>
      <c r="H51" s="39" t="s">
        <v>10</v>
      </c>
      <c r="K51" s="116">
        <v>1.44E-13</v>
      </c>
      <c r="L51" s="120"/>
      <c r="M51" s="117"/>
      <c r="N51" s="119">
        <f>0.000000000000144/42000000000000000000</f>
        <v>3.428571428571428E-33</v>
      </c>
      <c r="O51" s="117"/>
      <c r="P51" s="118"/>
      <c r="Q51" s="117"/>
      <c r="S51" s="40">
        <f t="shared" si="0"/>
        <v>2.2788E-13</v>
      </c>
      <c r="T51" s="40">
        <f>K51*EXP(-L51/T$4)*((T$4/300)^M51)</f>
        <v>1.44E-13</v>
      </c>
      <c r="U51" s="117"/>
      <c r="V51" s="40">
        <f>W51*V$3*7.3395E+21/T$4</f>
        <v>8.387999999999999E-14</v>
      </c>
      <c r="W51" s="40">
        <f>N51*EXP(-O51/T$4)*(T$4/300)^P51</f>
        <v>3.428571428571428E-33</v>
      </c>
      <c r="X51" s="117"/>
      <c r="Y51" s="117"/>
    </row>
    <row r="52" spans="2:25" ht="15">
      <c r="B52" s="49" t="s">
        <v>1861</v>
      </c>
      <c r="D52" s="104" t="str">
        <f>IF(H51="S1","k1: ",H51)</f>
        <v>k1: </v>
      </c>
      <c r="E52" s="100">
        <f>K51</f>
        <v>1.44E-13</v>
      </c>
      <c r="F52" s="101">
        <f>U51</f>
        <v>0</v>
      </c>
      <c r="G52" s="101">
        <f>M51</f>
        <v>0</v>
      </c>
      <c r="K52" s="116"/>
      <c r="L52" s="120"/>
      <c r="M52" s="117"/>
      <c r="N52" s="116"/>
      <c r="O52" s="117"/>
      <c r="P52" s="118"/>
      <c r="Q52" s="117"/>
      <c r="S52" s="40">
        <f t="shared" si="0"/>
      </c>
      <c r="U52" s="117"/>
      <c r="V52" s="116"/>
      <c r="W52" s="116"/>
      <c r="X52" s="117"/>
      <c r="Y52" s="117"/>
    </row>
    <row r="53" spans="2:25" ht="15">
      <c r="B53" s="49" t="s">
        <v>1861</v>
      </c>
      <c r="D53" s="104" t="str">
        <f>IF(H51="S1","k2: ",H51)</f>
        <v>k2: </v>
      </c>
      <c r="E53" s="100">
        <f>N51</f>
        <v>3.428571428571428E-33</v>
      </c>
      <c r="F53" s="101">
        <f>X51</f>
        <v>0</v>
      </c>
      <c r="G53" s="101">
        <f>P51</f>
        <v>0</v>
      </c>
      <c r="K53" s="116"/>
      <c r="L53" s="120"/>
      <c r="M53" s="117"/>
      <c r="N53" s="116"/>
      <c r="O53" s="117"/>
      <c r="P53" s="118"/>
      <c r="Q53" s="117"/>
      <c r="S53" s="40">
        <f t="shared" si="0"/>
      </c>
      <c r="U53" s="117"/>
      <c r="V53" s="116"/>
      <c r="W53" s="116"/>
      <c r="X53" s="117"/>
      <c r="Y53" s="117"/>
    </row>
    <row r="54" spans="2:25" ht="15">
      <c r="B54" s="49">
        <v>30</v>
      </c>
      <c r="C54" s="14" t="s">
        <v>11</v>
      </c>
      <c r="D54" s="100">
        <f>IF(OR(H54="T",H54="C"),S54,H54)</f>
        <v>7.407293357716678E-14</v>
      </c>
      <c r="E54" s="100">
        <f>IF(H54="C","",K54)</f>
        <v>1.7E-12</v>
      </c>
      <c r="F54" s="101">
        <f>IF(H54="C","",U54)</f>
        <v>1.867968</v>
      </c>
      <c r="G54" s="101">
        <f>IF(M54=0,"",M54)</f>
      </c>
      <c r="H54" s="39" t="s">
        <v>1859</v>
      </c>
      <c r="K54" s="116">
        <v>1.7E-12</v>
      </c>
      <c r="L54" s="120">
        <v>940</v>
      </c>
      <c r="M54" s="117">
        <v>0</v>
      </c>
      <c r="N54" s="116"/>
      <c r="O54" s="117"/>
      <c r="P54" s="118"/>
      <c r="Q54" s="117"/>
      <c r="S54" s="40">
        <f t="shared" si="0"/>
        <v>7.407293357716678E-14</v>
      </c>
      <c r="T54" s="40">
        <f>K54*EXP(-L54/T$4)*((T$4/300)^M54)</f>
        <v>7.407293357716678E-14</v>
      </c>
      <c r="U54" s="15">
        <f>L54*Rfac</f>
        <v>1.867968</v>
      </c>
      <c r="V54" s="116"/>
      <c r="W54" s="116"/>
      <c r="X54" s="117"/>
      <c r="Y54" s="117"/>
    </row>
    <row r="55" spans="2:25" ht="15">
      <c r="B55" s="49">
        <v>31</v>
      </c>
      <c r="C55" s="14" t="s">
        <v>12</v>
      </c>
      <c r="D55" s="100">
        <f>IF(OR(H55="T",H55="C"),S55,H55)</f>
        <v>8.854571200165019E-12</v>
      </c>
      <c r="E55" s="100">
        <f>IF(H55="C","",K55)</f>
        <v>3.6E-12</v>
      </c>
      <c r="F55" s="101">
        <f>IF(H55="C","",U55)</f>
        <v>-0.536544</v>
      </c>
      <c r="G55" s="101">
        <f>IF(M55=0,"",M55)</f>
      </c>
      <c r="H55" s="39" t="s">
        <v>1859</v>
      </c>
      <c r="K55" s="116">
        <v>3.6E-12</v>
      </c>
      <c r="L55" s="120">
        <v>-270</v>
      </c>
      <c r="M55" s="117">
        <v>0</v>
      </c>
      <c r="N55" s="116"/>
      <c r="O55" s="117"/>
      <c r="P55" s="118"/>
      <c r="Q55" s="117"/>
      <c r="S55" s="40">
        <f t="shared" si="0"/>
        <v>8.854571200165019E-12</v>
      </c>
      <c r="T55" s="40">
        <f>K55*EXP(-L55/T$4)*((T$4/300)^M55)</f>
        <v>8.854571200165019E-12</v>
      </c>
      <c r="U55" s="15">
        <f>L55*Rfac</f>
        <v>-0.536544</v>
      </c>
      <c r="V55" s="116"/>
      <c r="W55" s="116"/>
      <c r="X55" s="117"/>
      <c r="Y55" s="117"/>
    </row>
    <row r="56" spans="2:25" ht="15">
      <c r="B56" s="49">
        <v>32</v>
      </c>
      <c r="C56" s="14" t="s">
        <v>13</v>
      </c>
      <c r="D56" s="100">
        <f>S56</f>
        <v>1.1202304796425256E-12</v>
      </c>
      <c r="E56" s="102" t="str">
        <f>IF(H56="F","Falloff, F="&amp;TEXT(Q56,"0.00")&amp;", N="&amp;TEXT(R56,"0.00"),H56)</f>
        <v>Falloff, F=0.60, N=1.00</v>
      </c>
      <c r="F56" s="103"/>
      <c r="G56" s="99"/>
      <c r="H56" s="39" t="s">
        <v>1843</v>
      </c>
      <c r="K56" s="116">
        <v>2.9E-12</v>
      </c>
      <c r="L56" s="120">
        <v>0</v>
      </c>
      <c r="M56" s="117">
        <v>-1.1</v>
      </c>
      <c r="N56" s="116">
        <v>2E-31</v>
      </c>
      <c r="O56" s="120">
        <v>0</v>
      </c>
      <c r="P56" s="118">
        <v>-3.4</v>
      </c>
      <c r="Q56" s="117">
        <v>0.6</v>
      </c>
      <c r="R56" s="41">
        <v>1</v>
      </c>
      <c r="S56" s="40">
        <f t="shared" si="0"/>
        <v>1.1202304796425256E-12</v>
      </c>
      <c r="T56" s="40">
        <f>K56*EXP(-L56/T$4)*((T$4/300)^M56)</f>
        <v>2.9E-12</v>
      </c>
      <c r="U56" s="15">
        <f>L56*Rfac</f>
        <v>0</v>
      </c>
      <c r="V56" s="40">
        <f>W56*V$3*7.3395E+21/T$4</f>
        <v>4.893E-12</v>
      </c>
      <c r="W56" s="40">
        <f>N56*EXP(-O56/T$4)*(T$4/300)^P56</f>
        <v>2E-31</v>
      </c>
      <c r="X56" s="15">
        <f>O56*Rfac</f>
        <v>0</v>
      </c>
      <c r="Y56" s="15"/>
    </row>
    <row r="57" spans="2:19" ht="15">
      <c r="B57" s="49" t="s">
        <v>1861</v>
      </c>
      <c r="D57" s="104" t="str">
        <f>IF(H56="F","0: ",H56)</f>
        <v>0: </v>
      </c>
      <c r="E57" s="100">
        <f>N56</f>
        <v>2E-31</v>
      </c>
      <c r="F57" s="101">
        <f>X56</f>
        <v>0</v>
      </c>
      <c r="G57" s="101">
        <f>P56</f>
        <v>-3.4</v>
      </c>
      <c r="K57" s="116"/>
      <c r="L57" s="120"/>
      <c r="M57" s="117"/>
      <c r="N57" s="116"/>
      <c r="O57" s="120"/>
      <c r="P57" s="118"/>
      <c r="Q57" s="117"/>
      <c r="S57" s="40">
        <f t="shared" si="0"/>
      </c>
    </row>
    <row r="58" spans="2:19" ht="15">
      <c r="B58" s="49" t="s">
        <v>1861</v>
      </c>
      <c r="D58" s="104" t="str">
        <f>IF(H56="F","inf: ",H56)</f>
        <v>inf: </v>
      </c>
      <c r="E58" s="100">
        <f>K56</f>
        <v>2.9E-12</v>
      </c>
      <c r="F58" s="101">
        <f>U56</f>
        <v>0</v>
      </c>
      <c r="G58" s="101">
        <f>M56</f>
        <v>-1.1</v>
      </c>
      <c r="K58" s="116"/>
      <c r="L58" s="120"/>
      <c r="M58" s="117"/>
      <c r="N58" s="116"/>
      <c r="O58" s="120"/>
      <c r="P58" s="118"/>
      <c r="Q58" s="117"/>
      <c r="S58" s="40">
        <f t="shared" si="0"/>
      </c>
    </row>
    <row r="59" spans="2:25" ht="15">
      <c r="B59" s="49">
        <v>33</v>
      </c>
      <c r="C59" s="14" t="s">
        <v>14</v>
      </c>
      <c r="D59" s="100">
        <f>S59</f>
        <v>0.1071001205390551</v>
      </c>
      <c r="E59" s="102" t="str">
        <f>IF(H59="F","Falloff, F="&amp;TEXT(Q59,"0.00")&amp;", N="&amp;TEXT(R59,"0.00"),H59)</f>
        <v>Falloff, F=0.60, N=1.00</v>
      </c>
      <c r="F59" s="103"/>
      <c r="G59" s="99"/>
      <c r="H59" s="39" t="s">
        <v>1843</v>
      </c>
      <c r="K59" s="116">
        <v>5420000000000000</v>
      </c>
      <c r="L59" s="120">
        <v>11170</v>
      </c>
      <c r="M59" s="117">
        <v>-2.3</v>
      </c>
      <c r="N59" s="116">
        <v>3.72E-05</v>
      </c>
      <c r="O59" s="120">
        <v>10650</v>
      </c>
      <c r="P59" s="118">
        <v>-2.4</v>
      </c>
      <c r="Q59" s="117">
        <v>0.6</v>
      </c>
      <c r="R59" s="41">
        <v>1</v>
      </c>
      <c r="S59" s="40">
        <f t="shared" si="0"/>
        <v>0.1071001205390551</v>
      </c>
      <c r="T59" s="40">
        <f>K59*EXP(-L59/T$4)*((T$4/300)^M59)</f>
        <v>0.3662419410063809</v>
      </c>
      <c r="U59" s="15">
        <f>L59*Rfac</f>
        <v>22.197024000000003</v>
      </c>
      <c r="V59" s="40">
        <f>W59*V$3*7.3395E+21/T$4</f>
        <v>0.3480439207737947</v>
      </c>
      <c r="W59" s="40">
        <f>N59*EXP(-O59/T$4)*(T$4/300)^P59</f>
        <v>1.4226197456521346E-20</v>
      </c>
      <c r="X59" s="15">
        <f>O59*Rfac</f>
        <v>21.163680000000003</v>
      </c>
      <c r="Y59" s="15"/>
    </row>
    <row r="60" spans="2:19" ht="15">
      <c r="B60" s="49" t="s">
        <v>1861</v>
      </c>
      <c r="D60" s="104" t="str">
        <f>IF(H59="F","0: ",H59)</f>
        <v>0: </v>
      </c>
      <c r="E60" s="100">
        <f>N59</f>
        <v>3.72E-05</v>
      </c>
      <c r="F60" s="101">
        <f>X59</f>
        <v>21.163680000000003</v>
      </c>
      <c r="G60" s="101">
        <f>P59</f>
        <v>-2.4</v>
      </c>
      <c r="J60" s="18" t="s">
        <v>15</v>
      </c>
      <c r="K60" s="116">
        <v>2.1E-27</v>
      </c>
      <c r="L60" s="120">
        <v>10900</v>
      </c>
      <c r="M60" s="117"/>
      <c r="N60" s="116"/>
      <c r="O60" s="120"/>
      <c r="P60" s="118"/>
      <c r="Q60" s="117"/>
      <c r="S60" s="40">
        <f t="shared" si="0"/>
      </c>
    </row>
    <row r="61" spans="2:19" ht="15">
      <c r="B61" s="49" t="s">
        <v>1861</v>
      </c>
      <c r="D61" s="104" t="str">
        <f>IF(H59="F","inf: ",H59)</f>
        <v>inf: </v>
      </c>
      <c r="E61" s="100">
        <f>K59</f>
        <v>5420000000000000</v>
      </c>
      <c r="F61" s="101">
        <f>U59</f>
        <v>22.197024000000003</v>
      </c>
      <c r="G61" s="101">
        <f>M59</f>
        <v>-2.3</v>
      </c>
      <c r="K61" s="119">
        <f>K56/K60</f>
        <v>1380952380952381</v>
      </c>
      <c r="L61" s="120">
        <v>10900</v>
      </c>
      <c r="M61" s="117">
        <v>-1.1</v>
      </c>
      <c r="N61" s="116"/>
      <c r="O61" s="120"/>
      <c r="P61" s="118"/>
      <c r="Q61" s="117"/>
      <c r="S61" s="40">
        <f t="shared" si="0"/>
      </c>
    </row>
    <row r="62" spans="2:25" ht="25.5">
      <c r="B62" s="49">
        <v>34</v>
      </c>
      <c r="C62" s="14" t="s">
        <v>16</v>
      </c>
      <c r="D62" s="97" t="str">
        <f>IF(H62="P",CONCATENATE("Phot Set= ",I62,IF(J62=0,"",CONCATENATE(", qy= ",TEXT(J62,"0.0e+0")))),H62)</f>
        <v>Phot Set= HNO4-06</v>
      </c>
      <c r="E62" s="98"/>
      <c r="F62" s="98"/>
      <c r="G62" s="99"/>
      <c r="H62" s="39" t="s">
        <v>1856</v>
      </c>
      <c r="I62" s="49" t="s">
        <v>17</v>
      </c>
      <c r="K62" s="116" t="s">
        <v>1861</v>
      </c>
      <c r="L62" s="120"/>
      <c r="M62" s="117"/>
      <c r="N62" s="116"/>
      <c r="O62" s="117"/>
      <c r="P62" s="118"/>
      <c r="Q62" s="117"/>
      <c r="S62" s="40">
        <f t="shared" si="0"/>
      </c>
      <c r="T62" s="116"/>
      <c r="U62" s="117"/>
      <c r="V62" s="116"/>
      <c r="W62" s="116"/>
      <c r="X62" s="117"/>
      <c r="Y62" s="117"/>
    </row>
    <row r="63" spans="2:25" ht="15">
      <c r="B63" s="49">
        <v>35</v>
      </c>
      <c r="C63" s="14" t="s">
        <v>18</v>
      </c>
      <c r="D63" s="100">
        <f>IF(OR(H63="T",H63="C"),S63,H63)</f>
        <v>4.6137036586761946E-12</v>
      </c>
      <c r="E63" s="100">
        <f>IF(H63="C","",K63)</f>
        <v>1.3E-12</v>
      </c>
      <c r="F63" s="101">
        <f>IF(H63="C","",U63)</f>
        <v>-0.755136</v>
      </c>
      <c r="G63" s="101">
        <f>IF(M63=0,"",M63)</f>
      </c>
      <c r="H63" s="39" t="s">
        <v>1859</v>
      </c>
      <c r="K63" s="116">
        <v>1.3E-12</v>
      </c>
      <c r="L63" s="120">
        <v>-380</v>
      </c>
      <c r="M63" s="117">
        <v>0</v>
      </c>
      <c r="N63" s="116"/>
      <c r="O63" s="117"/>
      <c r="P63" s="118"/>
      <c r="Q63" s="117"/>
      <c r="S63" s="40">
        <f t="shared" si="0"/>
        <v>4.6137036586761946E-12</v>
      </c>
      <c r="T63" s="40">
        <f>K63*EXP(-L63/T$4)*((T$4/300)^M63)</f>
        <v>4.6137036586761946E-12</v>
      </c>
      <c r="U63" s="15">
        <f>L63*Rfac</f>
        <v>-0.755136</v>
      </c>
      <c r="V63" s="116"/>
      <c r="W63" s="116"/>
      <c r="X63" s="117"/>
      <c r="Y63" s="117"/>
    </row>
    <row r="64" spans="2:25" ht="15">
      <c r="B64" s="49">
        <v>36</v>
      </c>
      <c r="C64" s="14" t="s">
        <v>19</v>
      </c>
      <c r="D64" s="100">
        <f>IF(OR(H64="T",H64="C"),S64,H64)</f>
        <v>2.0451082049677582E-15</v>
      </c>
      <c r="E64" s="100">
        <f>IF(H64="C","",K64)</f>
        <v>2.03E-16</v>
      </c>
      <c r="F64" s="101">
        <f>IF(H64="C","",U64)</f>
        <v>-1.3771296000000002</v>
      </c>
      <c r="G64" s="101">
        <f>IF(M64=0,"",M64)</f>
        <v>4.57</v>
      </c>
      <c r="H64" s="39" t="s">
        <v>1859</v>
      </c>
      <c r="K64" s="116">
        <v>2.03E-16</v>
      </c>
      <c r="L64" s="120">
        <v>-693</v>
      </c>
      <c r="M64" s="117">
        <v>4.57</v>
      </c>
      <c r="N64" s="116"/>
      <c r="O64" s="117"/>
      <c r="P64" s="118"/>
      <c r="Q64" s="117"/>
      <c r="S64" s="40">
        <f t="shared" si="0"/>
        <v>2.0451082049677582E-15</v>
      </c>
      <c r="T64" s="40">
        <f>K64*EXP(-L64/T$4)*((T$4/300)^M64)</f>
        <v>2.0451082049677582E-15</v>
      </c>
      <c r="U64" s="15">
        <f>L64*Rfac</f>
        <v>-1.3771296000000002</v>
      </c>
      <c r="V64" s="116"/>
      <c r="W64" s="116"/>
      <c r="X64" s="117"/>
      <c r="Y64" s="117"/>
    </row>
    <row r="65" spans="2:25" ht="15">
      <c r="B65" s="49">
        <v>37</v>
      </c>
      <c r="C65" s="14" t="s">
        <v>20</v>
      </c>
      <c r="D65" s="100">
        <f>S65</f>
        <v>2.844565460793663E-12</v>
      </c>
      <c r="E65" s="102" t="str">
        <f>IF(H65="S1","k = k1 + k2 [M]",H65)</f>
        <v>k = k1 + k2 [M]</v>
      </c>
      <c r="F65" s="103"/>
      <c r="G65" s="99"/>
      <c r="H65" s="39" t="s">
        <v>10</v>
      </c>
      <c r="K65" s="116">
        <v>2.2E-13</v>
      </c>
      <c r="L65" s="120">
        <v>-600</v>
      </c>
      <c r="M65" s="117">
        <v>0</v>
      </c>
      <c r="N65" s="116">
        <v>1.9E-33</v>
      </c>
      <c r="O65" s="120">
        <v>-980</v>
      </c>
      <c r="P65" s="118">
        <v>0</v>
      </c>
      <c r="Q65" s="117"/>
      <c r="S65" s="40">
        <f t="shared" si="0"/>
        <v>2.844565460793663E-12</v>
      </c>
      <c r="T65" s="40">
        <f>K65*EXP(-L65/T$4)*((T$4/300)^M65)</f>
        <v>1.625592341764743E-12</v>
      </c>
      <c r="U65" s="15">
        <f>L65*Rfac</f>
        <v>-1.19232</v>
      </c>
      <c r="V65" s="40">
        <f>W65*V$3*7.3395E+21/T$4</f>
        <v>1.21897311902892E-12</v>
      </c>
      <c r="W65" s="40">
        <f>N65*EXP(-O65/W$4)*((W$4/300)^P65)</f>
        <v>4.982518369216922E-32</v>
      </c>
      <c r="X65" s="15">
        <f>O65*Rfac</f>
        <v>-1.947456</v>
      </c>
      <c r="Y65" s="15"/>
    </row>
    <row r="66" spans="2:19" ht="15">
      <c r="B66" s="49" t="s">
        <v>1861</v>
      </c>
      <c r="D66" s="104" t="str">
        <f>IF(H65="S1","k1: ",H65)</f>
        <v>k1: </v>
      </c>
      <c r="E66" s="100">
        <f>K65</f>
        <v>2.2E-13</v>
      </c>
      <c r="F66" s="101">
        <f>U65</f>
        <v>-1.19232</v>
      </c>
      <c r="G66" s="101">
        <f>M65</f>
        <v>0</v>
      </c>
      <c r="K66" s="116"/>
      <c r="L66" s="120"/>
      <c r="M66" s="117"/>
      <c r="N66" s="116"/>
      <c r="O66" s="120"/>
      <c r="P66" s="118"/>
      <c r="Q66" s="117"/>
      <c r="S66" s="40">
        <f t="shared" si="0"/>
      </c>
    </row>
    <row r="67" spans="2:19" ht="15">
      <c r="B67" s="49" t="s">
        <v>1861</v>
      </c>
      <c r="D67" s="104" t="str">
        <f>IF(H65="S1","k2: ",H65)</f>
        <v>k2: </v>
      </c>
      <c r="E67" s="100">
        <f>N65</f>
        <v>1.9E-33</v>
      </c>
      <c r="F67" s="101">
        <f>X65</f>
        <v>-1.947456</v>
      </c>
      <c r="G67" s="101">
        <f>P65</f>
        <v>0</v>
      </c>
      <c r="K67" s="116"/>
      <c r="L67" s="120"/>
      <c r="M67" s="117"/>
      <c r="N67" s="116"/>
      <c r="O67" s="120"/>
      <c r="P67" s="118"/>
      <c r="Q67" s="117"/>
      <c r="S67" s="40">
        <f t="shared" si="0"/>
      </c>
    </row>
    <row r="68" spans="2:25" ht="15">
      <c r="B68" s="49">
        <v>38</v>
      </c>
      <c r="C68" s="14" t="s">
        <v>21</v>
      </c>
      <c r="D68" s="100">
        <f>S68</f>
        <v>6.094950302143958E-30</v>
      </c>
      <c r="E68" s="102" t="str">
        <f>IF(H68="S1","k = k1 + k2 [M]",H68)</f>
        <v>k = k1 + k2 [M]</v>
      </c>
      <c r="F68" s="103"/>
      <c r="G68" s="99"/>
      <c r="H68" s="39" t="s">
        <v>10</v>
      </c>
      <c r="K68" s="119">
        <f>0.0000000000000000000014*K65</f>
        <v>3.08E-34</v>
      </c>
      <c r="L68" s="122">
        <f>L65-2200</f>
        <v>-2800</v>
      </c>
      <c r="M68" s="117">
        <v>0</v>
      </c>
      <c r="N68" s="119">
        <f>0.0000000000000000000014*N65</f>
        <v>2.66E-54</v>
      </c>
      <c r="O68" s="122">
        <f>O65-2200</f>
        <v>-3180</v>
      </c>
      <c r="P68" s="118">
        <v>0</v>
      </c>
      <c r="Q68" s="117"/>
      <c r="S68" s="40">
        <f t="shared" si="0"/>
        <v>6.094950302143958E-30</v>
      </c>
      <c r="T68" s="40">
        <f>K68*EXP(-L68/T$4)*((T$4/300)^M68)</f>
        <v>3.483099500138598E-30</v>
      </c>
      <c r="U68" s="15">
        <f>L68*Rfac</f>
        <v>-5.56416</v>
      </c>
      <c r="V68" s="40">
        <f>W68*V$3*7.3395E+21/T$4</f>
        <v>2.61185080200536E-30</v>
      </c>
      <c r="W68" s="40">
        <f>N68*EXP(-O68/W$4)*((W$4/300)^P68)</f>
        <v>1.0675866756612958E-49</v>
      </c>
      <c r="X68" s="15">
        <f>O68*Rfac</f>
        <v>-6.3192960000000005</v>
      </c>
      <c r="Y68" s="15"/>
    </row>
    <row r="69" spans="2:19" ht="15">
      <c r="B69" s="49" t="s">
        <v>1861</v>
      </c>
      <c r="D69" s="104" t="str">
        <f>IF(H68="S1","k1: ",H68)</f>
        <v>k1: </v>
      </c>
      <c r="E69" s="100">
        <f>K68</f>
        <v>3.08E-34</v>
      </c>
      <c r="F69" s="101">
        <f>U68</f>
        <v>-5.56416</v>
      </c>
      <c r="G69" s="101">
        <f>M68</f>
        <v>0</v>
      </c>
      <c r="K69" s="116"/>
      <c r="L69" s="120"/>
      <c r="M69" s="117"/>
      <c r="N69" s="116"/>
      <c r="O69" s="120"/>
      <c r="P69" s="118"/>
      <c r="Q69" s="117"/>
      <c r="S69" s="40">
        <f t="shared" si="0"/>
      </c>
    </row>
    <row r="70" spans="2:19" ht="15">
      <c r="B70" s="49" t="s">
        <v>1861</v>
      </c>
      <c r="D70" s="104" t="str">
        <f>IF(H68="S1","k2: ",H68)</f>
        <v>k2: </v>
      </c>
      <c r="E70" s="100">
        <f>N68</f>
        <v>2.66E-54</v>
      </c>
      <c r="F70" s="101">
        <f>X68</f>
        <v>-6.3192960000000005</v>
      </c>
      <c r="G70" s="101">
        <f>P68</f>
        <v>0</v>
      </c>
      <c r="K70" s="116"/>
      <c r="L70" s="120"/>
      <c r="M70" s="117"/>
      <c r="N70" s="116"/>
      <c r="O70" s="120"/>
      <c r="P70" s="118"/>
      <c r="Q70" s="117"/>
      <c r="S70" s="40">
        <f t="shared" si="0"/>
      </c>
    </row>
    <row r="71" spans="2:25" ht="25.5">
      <c r="B71" s="49">
        <v>39</v>
      </c>
      <c r="C71" s="14" t="s">
        <v>22</v>
      </c>
      <c r="D71" s="100">
        <f>IF(OR(H71="T",H71="C"),S71,H71)</f>
        <v>4E-12</v>
      </c>
      <c r="E71" s="100"/>
      <c r="F71" s="101">
        <f>IF(H71="C","",U71)</f>
      </c>
      <c r="G71" s="101">
        <f>IF(M71=0,"",M71)</f>
      </c>
      <c r="H71" s="39" t="s">
        <v>1851</v>
      </c>
      <c r="K71" s="116">
        <v>4E-12</v>
      </c>
      <c r="L71" s="120"/>
      <c r="M71" s="117"/>
      <c r="N71" s="116"/>
      <c r="O71" s="117"/>
      <c r="P71" s="118"/>
      <c r="Q71" s="117"/>
      <c r="S71" s="40">
        <f aca="true" t="shared" si="1" ref="S71:S91">IF(OR(H71="T",H71="C"),T71,IF(H71="F",(V71/(1+(V71/T71)))*Q71^(1/(1+((LOG10(V71/T71)/R71)^2))),IF(H71="S1",T71+V71,IF(H71="S2",T71+(V71/(1+(V71/T72))),""))))</f>
        <v>4E-12</v>
      </c>
      <c r="T71" s="40">
        <f>K71*EXP(-L71/T$4)*((T$4/300)^M71)</f>
        <v>4E-12</v>
      </c>
      <c r="U71" s="117"/>
      <c r="V71" s="116"/>
      <c r="W71" s="116"/>
      <c r="X71" s="117"/>
      <c r="Y71" s="117"/>
    </row>
    <row r="72" spans="2:25" ht="15">
      <c r="B72" s="49">
        <v>40</v>
      </c>
      <c r="C72" s="14" t="s">
        <v>23</v>
      </c>
      <c r="D72" s="100">
        <f>IF(OR(H72="T",H72="C"),S72,H72)</f>
        <v>2.413685363177681E-16</v>
      </c>
      <c r="E72" s="100">
        <f>IF(H72="C","",K72)</f>
        <v>8.5E-13</v>
      </c>
      <c r="F72" s="101">
        <f>IF(H72="C","",U72)</f>
        <v>4.86864</v>
      </c>
      <c r="G72" s="101">
        <f>IF(M72=0,"",M72)</f>
      </c>
      <c r="H72" s="39" t="s">
        <v>1859</v>
      </c>
      <c r="K72" s="116">
        <v>8.5E-13</v>
      </c>
      <c r="L72" s="120">
        <v>2450</v>
      </c>
      <c r="M72" s="117">
        <v>0</v>
      </c>
      <c r="N72" s="116"/>
      <c r="O72" s="117"/>
      <c r="P72" s="118"/>
      <c r="Q72" s="117"/>
      <c r="S72" s="40">
        <f t="shared" si="1"/>
        <v>2.413685363177681E-16</v>
      </c>
      <c r="T72" s="40">
        <f>K72*EXP(-L72/T$4)*((T$4/300)^M72)</f>
        <v>2.413685363177681E-16</v>
      </c>
      <c r="U72" s="15">
        <f>L72*Rfac</f>
        <v>4.86864</v>
      </c>
      <c r="V72" s="116"/>
      <c r="W72" s="116"/>
      <c r="X72" s="117"/>
      <c r="Y72" s="117"/>
    </row>
    <row r="73" spans="2:25" ht="15">
      <c r="B73" s="49">
        <v>41</v>
      </c>
      <c r="C73" s="14" t="s">
        <v>24</v>
      </c>
      <c r="D73" s="97" t="str">
        <f>IF(H73="P",CONCATENATE("Phot Set= ",I73,IF(J73=0,"",CONCATENATE(", qy= ",TEXT(J73,"0.0e+0")))),H73)</f>
        <v>Phot Set= H2O2</v>
      </c>
      <c r="E73" s="98"/>
      <c r="F73" s="98"/>
      <c r="G73" s="99"/>
      <c r="H73" s="39" t="s">
        <v>1856</v>
      </c>
      <c r="I73" s="49" t="s">
        <v>25</v>
      </c>
      <c r="K73" s="116" t="s">
        <v>1861</v>
      </c>
      <c r="L73" s="120"/>
      <c r="M73" s="117"/>
      <c r="N73" s="116"/>
      <c r="O73" s="117"/>
      <c r="P73" s="118"/>
      <c r="Q73" s="117"/>
      <c r="S73" s="40">
        <f t="shared" si="1"/>
      </c>
      <c r="T73" s="116"/>
      <c r="U73" s="117"/>
      <c r="V73" s="116"/>
      <c r="W73" s="116"/>
      <c r="X73" s="117"/>
      <c r="Y73" s="117"/>
    </row>
    <row r="74" spans="2:25" ht="15">
      <c r="B74" s="49">
        <v>42</v>
      </c>
      <c r="C74" s="14" t="s">
        <v>26</v>
      </c>
      <c r="D74" s="100">
        <f>IF(OR(H74="T",H74="C"),S74,H74)</f>
        <v>1.8E-12</v>
      </c>
      <c r="E74" s="100">
        <f>IF(H74="C","",K74)</f>
        <v>1.8E-12</v>
      </c>
      <c r="F74" s="101">
        <f>IF(H74="C","",U74)</f>
        <v>0</v>
      </c>
      <c r="G74" s="101">
        <f>IF(M74=0,"",M74)</f>
      </c>
      <c r="H74" s="39" t="s">
        <v>1859</v>
      </c>
      <c r="K74" s="116">
        <v>1.8E-12</v>
      </c>
      <c r="L74" s="120">
        <v>0</v>
      </c>
      <c r="M74" s="117">
        <v>0</v>
      </c>
      <c r="N74" s="116"/>
      <c r="O74" s="117"/>
      <c r="P74" s="118"/>
      <c r="Q74" s="117"/>
      <c r="S74" s="40">
        <f t="shared" si="1"/>
        <v>1.8E-12</v>
      </c>
      <c r="T74" s="40">
        <f>K74*EXP(-L74/T$4)*((T$4/300)^M74)</f>
        <v>1.8E-12</v>
      </c>
      <c r="U74" s="15">
        <f>L74*Rfac</f>
        <v>0</v>
      </c>
      <c r="V74" s="116"/>
      <c r="W74" s="116"/>
      <c r="X74" s="117"/>
      <c r="Y74" s="117"/>
    </row>
    <row r="75" spans="2:25" ht="15">
      <c r="B75" s="49">
        <v>43</v>
      </c>
      <c r="C75" s="14" t="s">
        <v>27</v>
      </c>
      <c r="D75" s="100">
        <f>IF(OR(H75="T",H75="C"),S75,H75)</f>
        <v>1.1044684276285561E-10</v>
      </c>
      <c r="E75" s="100">
        <f>IF(H75="C","",K75)</f>
        <v>4.8E-11</v>
      </c>
      <c r="F75" s="101">
        <f>IF(H75="C","",U75)</f>
        <v>-0.4968</v>
      </c>
      <c r="G75" s="101">
        <f>IF(M75=0,"",M75)</f>
      </c>
      <c r="H75" s="39" t="s">
        <v>1859</v>
      </c>
      <c r="K75" s="116">
        <v>4.8E-11</v>
      </c>
      <c r="L75" s="120">
        <v>-250</v>
      </c>
      <c r="M75" s="117">
        <v>0</v>
      </c>
      <c r="N75" s="116"/>
      <c r="O75" s="117"/>
      <c r="P75" s="118"/>
      <c r="Q75" s="117"/>
      <c r="S75" s="40">
        <f t="shared" si="1"/>
        <v>1.1044684276285561E-10</v>
      </c>
      <c r="T75" s="40">
        <f>K75*EXP(-L75/T$4)*((T$4/300)^M75)</f>
        <v>1.1044684276285561E-10</v>
      </c>
      <c r="U75" s="15">
        <f>L75*Rfac</f>
        <v>-0.4968</v>
      </c>
      <c r="V75" s="116"/>
      <c r="W75" s="116"/>
      <c r="X75" s="117"/>
      <c r="Y75" s="117"/>
    </row>
    <row r="76" spans="2:25" ht="15">
      <c r="B76" s="49">
        <v>44</v>
      </c>
      <c r="C76" s="14" t="s">
        <v>28</v>
      </c>
      <c r="D76" s="100">
        <f>S76</f>
        <v>9.486737531477564E-13</v>
      </c>
      <c r="E76" s="102" t="str">
        <f>IF(H76="F","Falloff, F="&amp;TEXT(Q76,"0.00")&amp;", N="&amp;TEXT(R76,"0.00"),H76)</f>
        <v>Falloff, F=0.60, N=1.00</v>
      </c>
      <c r="F76" s="103"/>
      <c r="G76" s="99"/>
      <c r="H76" s="39" t="s">
        <v>1843</v>
      </c>
      <c r="K76" s="116">
        <v>1.6E-12</v>
      </c>
      <c r="L76" s="120">
        <v>0</v>
      </c>
      <c r="M76" s="117">
        <v>0</v>
      </c>
      <c r="N76" s="116">
        <v>3.3E-31</v>
      </c>
      <c r="O76" s="120">
        <v>0</v>
      </c>
      <c r="P76" s="118">
        <v>-4.3</v>
      </c>
      <c r="Q76" s="117">
        <v>0.6</v>
      </c>
      <c r="R76" s="41">
        <v>1</v>
      </c>
      <c r="S76" s="40">
        <f t="shared" si="1"/>
        <v>9.486737531477564E-13</v>
      </c>
      <c r="T76" s="40">
        <f>K76*EXP(-L76/T$4)*((T$4/300)^M76)</f>
        <v>1.6E-12</v>
      </c>
      <c r="U76" s="15">
        <f>L76*Rfac</f>
        <v>0</v>
      </c>
      <c r="V76" s="40">
        <f>W76*V$3*7.3395E+21/T$4</f>
        <v>8.07345E-12</v>
      </c>
      <c r="W76" s="40">
        <f>N76*EXP(-O76/T$4)*(T$4/300)^P76</f>
        <v>3.3E-31</v>
      </c>
      <c r="X76" s="15">
        <f>O76*Rfac</f>
        <v>0</v>
      </c>
      <c r="Y76" s="15"/>
    </row>
    <row r="77" spans="2:19" ht="15">
      <c r="B77" s="49" t="s">
        <v>1861</v>
      </c>
      <c r="D77" s="104" t="str">
        <f>IF(H76="F","0: ",H76)</f>
        <v>0: </v>
      </c>
      <c r="E77" s="100">
        <f>N76</f>
        <v>3.3E-31</v>
      </c>
      <c r="F77" s="101">
        <f>X76</f>
        <v>0</v>
      </c>
      <c r="G77" s="101">
        <f>P76</f>
        <v>-4.3</v>
      </c>
      <c r="K77" s="116"/>
      <c r="L77" s="120"/>
      <c r="M77" s="117"/>
      <c r="N77" s="116"/>
      <c r="O77" s="120"/>
      <c r="P77" s="118"/>
      <c r="Q77" s="117"/>
      <c r="S77" s="40">
        <f t="shared" si="1"/>
      </c>
    </row>
    <row r="78" spans="2:19" ht="15">
      <c r="B78" s="49" t="s">
        <v>1861</v>
      </c>
      <c r="D78" s="104" t="str">
        <f>IF(H76="F","inf: ",H76)</f>
        <v>inf: </v>
      </c>
      <c r="E78" s="100">
        <f>K76</f>
        <v>1.6E-12</v>
      </c>
      <c r="F78" s="101">
        <f>U76</f>
        <v>0</v>
      </c>
      <c r="G78" s="101">
        <f>M76</f>
        <v>0</v>
      </c>
      <c r="K78" s="116"/>
      <c r="L78" s="120"/>
      <c r="M78" s="117"/>
      <c r="N78" s="116"/>
      <c r="O78" s="120"/>
      <c r="P78" s="118"/>
      <c r="Q78" s="117"/>
      <c r="S78" s="40">
        <f t="shared" si="1"/>
      </c>
    </row>
    <row r="79" spans="2:25" ht="15">
      <c r="B79" s="49">
        <v>45</v>
      </c>
      <c r="C79" s="14" t="s">
        <v>29</v>
      </c>
      <c r="D79" s="100">
        <f>IF(OR(H79="T",H79="C"),S79,H79)</f>
        <v>7.021491134769775E-15</v>
      </c>
      <c r="E79" s="100">
        <f>IF(H79="C","",K79)</f>
        <v>7.7E-12</v>
      </c>
      <c r="F79" s="101">
        <f>IF(H79="C","",U79)</f>
        <v>4.17312</v>
      </c>
      <c r="G79" s="101">
        <f>IF(M79=0,"",M79)</f>
      </c>
      <c r="H79" s="39" t="s">
        <v>1859</v>
      </c>
      <c r="K79" s="116">
        <v>7.7E-12</v>
      </c>
      <c r="L79" s="120">
        <v>2100</v>
      </c>
      <c r="M79" s="117">
        <v>0</v>
      </c>
      <c r="N79" s="116"/>
      <c r="O79" s="120"/>
      <c r="P79" s="118"/>
      <c r="Q79" s="117"/>
      <c r="S79" s="40">
        <f>IF(OR(H79="T",H79="C"),T79,IF(H79="F",(V79/(1+(V79/T79)))*Q79^(1/(1+((LOG10(V79/T79)/R79)^2))),IF(H79="S1",T79+V79,IF(H79="S2",T79+(V79/(1+(V79/T85))),""))))</f>
        <v>7.021491134769775E-15</v>
      </c>
      <c r="T79" s="40">
        <f>K79*EXP(-L79/T$4)*((T$4/300)^M79)</f>
        <v>7.021491134769775E-15</v>
      </c>
      <c r="U79" s="15">
        <f>L79*Rfac</f>
        <v>4.17312</v>
      </c>
      <c r="V79" s="116"/>
      <c r="W79" s="116"/>
      <c r="X79" s="117"/>
      <c r="Y79" s="117"/>
    </row>
    <row r="80" spans="1:25" ht="15">
      <c r="A80" s="13" t="s">
        <v>1535</v>
      </c>
      <c r="D80" s="100"/>
      <c r="E80" s="100"/>
      <c r="F80" s="101"/>
      <c r="G80" s="101"/>
      <c r="K80" s="116"/>
      <c r="L80" s="120"/>
      <c r="M80" s="117"/>
      <c r="N80" s="116"/>
      <c r="O80" s="120"/>
      <c r="P80" s="118"/>
      <c r="Q80" s="117"/>
      <c r="S80" s="40"/>
      <c r="T80" s="40"/>
      <c r="U80" s="15"/>
      <c r="V80" s="116"/>
      <c r="W80" s="116"/>
      <c r="X80" s="117"/>
      <c r="Y80" s="117"/>
    </row>
    <row r="81" spans="2:25" ht="15">
      <c r="B81" s="49" t="s">
        <v>1536</v>
      </c>
      <c r="C81" s="14" t="s">
        <v>1537</v>
      </c>
      <c r="D81" s="97" t="str">
        <f>IF(H81="P",CONCATENATE("Phot Set= ",I81,IF(J81=0,"",CONCATENATE(", qy= ",TEXT(J81,"0.0e+0")))),H81)</f>
        <v>Phot Set= NO2EX</v>
      </c>
      <c r="E81" s="98"/>
      <c r="F81" s="98"/>
      <c r="G81" s="99"/>
      <c r="H81" s="39" t="s">
        <v>1856</v>
      </c>
      <c r="I81" s="49" t="s">
        <v>1529</v>
      </c>
      <c r="K81" s="116"/>
      <c r="L81" s="120"/>
      <c r="M81" s="117"/>
      <c r="N81" s="116"/>
      <c r="O81" s="120"/>
      <c r="P81" s="118"/>
      <c r="Q81" s="117"/>
      <c r="S81" s="40"/>
      <c r="T81" s="40"/>
      <c r="U81" s="15"/>
      <c r="V81" s="116"/>
      <c r="W81" s="116"/>
      <c r="X81" s="117"/>
      <c r="Y81" s="117"/>
    </row>
    <row r="82" spans="2:25" ht="15">
      <c r="B82" s="49" t="s">
        <v>1538</v>
      </c>
      <c r="C82" s="14" t="s">
        <v>1539</v>
      </c>
      <c r="D82" s="100">
        <f>IF(OR(H82="T",H82="C"),S82,H82)</f>
        <v>2.762838E-11</v>
      </c>
      <c r="E82" s="100">
        <f>IF(H82="C","",K82)</f>
      </c>
      <c r="F82" s="101">
        <f>IF(H82="C","",U82)</f>
      </c>
      <c r="G82" s="101">
        <f>IF(M82=0,"",M82)</f>
      </c>
      <c r="H82" s="39" t="s">
        <v>1851</v>
      </c>
      <c r="K82" s="116">
        <v>2.762838E-11</v>
      </c>
      <c r="L82" s="120"/>
      <c r="M82" s="117"/>
      <c r="N82" s="116"/>
      <c r="O82" s="120"/>
      <c r="P82" s="118"/>
      <c r="Q82" s="117"/>
      <c r="S82" s="40">
        <f>IF(OR(H82="T",H82="C"),T82,IF(H82="F",(V82/(1+(V82/T82)))*Q82^(1/(1+((LOG10(V82/T82)/R82)^2))),IF(H82="S1",T82+V82,IF(H82="S2",T82+(V82/(1+(V82/T83))),""))))</f>
        <v>2.762838E-11</v>
      </c>
      <c r="T82" s="40">
        <f>K82*EXP(-L82/T$4)*((T$4/300)^M82)</f>
        <v>2.762838E-11</v>
      </c>
      <c r="U82" s="15">
        <f>L82*Rfac</f>
        <v>0</v>
      </c>
      <c r="V82" s="116"/>
      <c r="W82" s="116"/>
      <c r="X82" s="117"/>
      <c r="Y82" s="117"/>
    </row>
    <row r="83" spans="2:25" ht="15">
      <c r="B83" s="49" t="s">
        <v>1540</v>
      </c>
      <c r="C83" s="14" t="s">
        <v>1541</v>
      </c>
      <c r="D83" s="100">
        <f>IF(OR(H83="T",H83="C"),S83,H83)</f>
        <v>1.7E-10</v>
      </c>
      <c r="E83" s="100">
        <f>IF(H83="C","",K83)</f>
      </c>
      <c r="F83" s="101">
        <f>IF(H83="C","",U83)</f>
      </c>
      <c r="G83" s="101">
        <f>IF(M83=0,"",M83)</f>
      </c>
      <c r="H83" s="39" t="s">
        <v>1851</v>
      </c>
      <c r="K83" s="116">
        <v>1.7E-10</v>
      </c>
      <c r="L83" s="120"/>
      <c r="M83" s="117"/>
      <c r="N83" s="116"/>
      <c r="O83" s="120"/>
      <c r="P83" s="118"/>
      <c r="Q83" s="117"/>
      <c r="S83" s="40">
        <f>IF(OR(H83="T",H83="C"),T83,IF(H83="F",(V83/(1+(V83/T83)))*Q83^(1/(1+((LOG10(V83/T83)/R83)^2))),IF(H83="S1",T83+V83,IF(H83="S2",T83+(V83/(1+(V83/T84))),""))))</f>
        <v>1.7E-10</v>
      </c>
      <c r="T83" s="40">
        <f>K83*EXP(-L83/T$4)*((T$4/300)^M83)</f>
        <v>1.7E-10</v>
      </c>
      <c r="U83" s="15">
        <f>L83*Rfac</f>
        <v>0</v>
      </c>
      <c r="V83" s="116"/>
      <c r="W83" s="116"/>
      <c r="X83" s="117"/>
      <c r="Y83" s="117"/>
    </row>
    <row r="84" spans="2:25" ht="15">
      <c r="B84" s="49" t="s">
        <v>1542</v>
      </c>
      <c r="C84" s="14" t="s">
        <v>1543</v>
      </c>
      <c r="D84" s="100">
        <f>IF(OR(H84="T",H84="C"),S84,H84)</f>
        <v>0</v>
      </c>
      <c r="E84" s="100">
        <f>IF(H84="C","",K84)</f>
      </c>
      <c r="F84" s="101">
        <f>IF(H84="C","",U84)</f>
      </c>
      <c r="G84" s="101">
        <f>IF(M84=0,"",M84)</f>
      </c>
      <c r="H84" s="39" t="s">
        <v>1851</v>
      </c>
      <c r="K84" s="116"/>
      <c r="L84" s="120"/>
      <c r="M84" s="117"/>
      <c r="N84" s="116"/>
      <c r="O84" s="120"/>
      <c r="P84" s="118"/>
      <c r="Q84" s="117"/>
      <c r="S84" s="40">
        <f>IF(OR(H84="T",H84="C"),T84,IF(H84="F",(V84/(1+(V84/T84)))*Q84^(1/(1+((LOG10(V84/T84)/R84)^2))),IF(H84="S1",T84+V84,IF(H84="S2",T84+(V84/(1+(V84/#REF!))),""))))</f>
        <v>0</v>
      </c>
      <c r="T84" s="40">
        <f>K84*EXP(-L84/T$4)*((T$4/300)^M84)</f>
        <v>0</v>
      </c>
      <c r="U84" s="15">
        <f>L84*Rfac</f>
        <v>0</v>
      </c>
      <c r="V84" s="116"/>
      <c r="W84" s="116"/>
      <c r="X84" s="117"/>
      <c r="Y84" s="117"/>
    </row>
    <row r="85" spans="1:25" ht="15">
      <c r="A85" s="13" t="s">
        <v>30</v>
      </c>
      <c r="D85" s="95"/>
      <c r="E85" s="95"/>
      <c r="F85" s="96"/>
      <c r="G85" s="96"/>
      <c r="J85" s="38"/>
      <c r="K85" s="109"/>
      <c r="L85" s="110"/>
      <c r="M85" s="111"/>
      <c r="N85" s="112"/>
      <c r="O85" s="111"/>
      <c r="P85" s="113"/>
      <c r="Q85" s="111"/>
      <c r="S85" s="40">
        <f t="shared" si="1"/>
      </c>
      <c r="T85" s="109"/>
      <c r="U85" s="111"/>
      <c r="V85" s="112"/>
      <c r="W85" s="112"/>
      <c r="X85" s="111"/>
      <c r="Y85" s="111"/>
    </row>
    <row r="86" spans="2:25" ht="15">
      <c r="B86" s="49" t="s">
        <v>31</v>
      </c>
      <c r="C86" s="14" t="s">
        <v>32</v>
      </c>
      <c r="D86" s="100">
        <f aca="true" t="shared" si="2" ref="D86:D91">IF(OR(H86="T",H86="C"),S86,H86)</f>
        <v>7.636268922294059E-12</v>
      </c>
      <c r="E86" s="100">
        <f aca="true" t="shared" si="3" ref="E86:E91">IF(H86="C","",K86)</f>
        <v>2.3E-12</v>
      </c>
      <c r="F86" s="101">
        <f aca="true" t="shared" si="4" ref="F86:F91">IF(H86="C","",U86)</f>
        <v>-0.715392</v>
      </c>
      <c r="G86" s="96"/>
      <c r="H86" s="39" t="s">
        <v>1859</v>
      </c>
      <c r="K86" s="116">
        <v>2.3E-12</v>
      </c>
      <c r="L86" s="120">
        <v>-360</v>
      </c>
      <c r="M86" s="117">
        <v>0</v>
      </c>
      <c r="N86" s="116"/>
      <c r="O86" s="117"/>
      <c r="P86" s="118"/>
      <c r="Q86" s="117"/>
      <c r="S86" s="40">
        <f t="shared" si="1"/>
        <v>7.636268922294059E-12</v>
      </c>
      <c r="T86" s="40">
        <f aca="true" t="shared" si="5" ref="T86:T91">K86*EXP(-L86/T$4)*((T$4/300)^M86)</f>
        <v>7.636268922294059E-12</v>
      </c>
      <c r="U86" s="15">
        <f>L86*Rfac</f>
        <v>-0.715392</v>
      </c>
      <c r="V86" s="116"/>
      <c r="W86" s="116"/>
      <c r="X86" s="117"/>
      <c r="Y86" s="117"/>
    </row>
    <row r="87" spans="2:25" ht="15">
      <c r="B87" s="49" t="s">
        <v>33</v>
      </c>
      <c r="C87" s="14" t="s">
        <v>34</v>
      </c>
      <c r="D87" s="100">
        <f t="shared" si="2"/>
        <v>4.653871863505769E-12</v>
      </c>
      <c r="E87" s="100">
        <f t="shared" si="3"/>
        <v>3.4566395293281533E-13</v>
      </c>
      <c r="F87" s="101">
        <f t="shared" si="4"/>
        <v>-1.5500086923458032</v>
      </c>
      <c r="G87" s="101">
        <f>IF(M87=0,"",M87)</f>
        <v>0.35605355101909014</v>
      </c>
      <c r="H87" s="39" t="s">
        <v>1859</v>
      </c>
      <c r="K87" s="116">
        <v>3.4566395293281533E-13</v>
      </c>
      <c r="L87" s="120">
        <v>-779.9963226377834</v>
      </c>
      <c r="M87" s="117">
        <v>0.35605355101909014</v>
      </c>
      <c r="N87" s="116"/>
      <c r="O87" s="117"/>
      <c r="P87" s="118"/>
      <c r="Q87" s="117"/>
      <c r="S87" s="40">
        <f t="shared" si="1"/>
        <v>4.653871863505769E-12</v>
      </c>
      <c r="T87" s="40">
        <f t="shared" si="5"/>
        <v>4.653871863505769E-12</v>
      </c>
      <c r="U87" s="15">
        <f>L87*Rfac</f>
        <v>-1.5500086923458032</v>
      </c>
      <c r="V87" s="116"/>
      <c r="W87" s="116"/>
      <c r="X87" s="117"/>
      <c r="Y87" s="117"/>
    </row>
    <row r="88" spans="2:25" ht="15">
      <c r="B88" s="49" t="s">
        <v>35</v>
      </c>
      <c r="C88" s="14" t="s">
        <v>36</v>
      </c>
      <c r="D88" s="100">
        <f t="shared" si="2"/>
        <v>4.4991321938129975E-13</v>
      </c>
      <c r="E88" s="100">
        <f t="shared" si="3"/>
        <v>3.3416272321361984E-14</v>
      </c>
      <c r="F88" s="101">
        <f t="shared" si="4"/>
        <v>-1.5500229999652246</v>
      </c>
      <c r="G88" s="101">
        <f>IF(M88=0,"",M88)</f>
        <v>-3.533085282923624</v>
      </c>
      <c r="H88" s="39" t="s">
        <v>1859</v>
      </c>
      <c r="K88" s="116">
        <v>3.3416272321361984E-14</v>
      </c>
      <c r="L88" s="120">
        <v>-780.0035225267836</v>
      </c>
      <c r="M88" s="117">
        <v>-3.533085282923624</v>
      </c>
      <c r="N88" s="116"/>
      <c r="O88" s="117"/>
      <c r="P88" s="118"/>
      <c r="Q88" s="117"/>
      <c r="S88" s="40">
        <f t="shared" si="1"/>
        <v>4.4991321938129975E-13</v>
      </c>
      <c r="T88" s="40">
        <f t="shared" si="5"/>
        <v>4.4991321938129975E-13</v>
      </c>
      <c r="U88" s="15">
        <f>L88*Rfac</f>
        <v>-1.5500229999652246</v>
      </c>
      <c r="V88" s="116"/>
      <c r="W88" s="116"/>
      <c r="X88" s="117"/>
      <c r="Y88" s="117"/>
    </row>
    <row r="89" spans="2:25" ht="15">
      <c r="B89" s="49" t="s">
        <v>37</v>
      </c>
      <c r="C89" s="14" t="s">
        <v>38</v>
      </c>
      <c r="D89" s="100">
        <f t="shared" si="2"/>
        <v>1.3E-12</v>
      </c>
      <c r="E89" s="100">
        <f t="shared" si="3"/>
      </c>
      <c r="F89" s="101">
        <f t="shared" si="4"/>
      </c>
      <c r="G89" s="101">
        <f>IF(M89=0,"",M89)</f>
      </c>
      <c r="H89" s="39" t="s">
        <v>1851</v>
      </c>
      <c r="K89" s="18">
        <v>1.3E-12</v>
      </c>
      <c r="L89" s="120"/>
      <c r="M89" s="117"/>
      <c r="N89" s="116"/>
      <c r="O89" s="117"/>
      <c r="P89" s="118"/>
      <c r="Q89" s="117"/>
      <c r="S89" s="40">
        <f t="shared" si="1"/>
        <v>1.3E-12</v>
      </c>
      <c r="T89" s="40">
        <f t="shared" si="5"/>
        <v>1.3E-12</v>
      </c>
      <c r="U89" s="117"/>
      <c r="V89" s="112"/>
      <c r="W89" s="112"/>
      <c r="X89" s="117"/>
      <c r="Y89" s="117"/>
    </row>
    <row r="90" spans="2:25" ht="15">
      <c r="B90" s="49" t="s">
        <v>39</v>
      </c>
      <c r="C90" s="14" t="s">
        <v>40</v>
      </c>
      <c r="D90" s="100">
        <f t="shared" si="2"/>
        <v>2.1563840648877435E-13</v>
      </c>
      <c r="E90" s="100">
        <f t="shared" si="3"/>
        <v>6.387522148911073E-14</v>
      </c>
      <c r="F90" s="101">
        <f t="shared" si="4"/>
        <v>-0.7253308485412026</v>
      </c>
      <c r="G90" s="101">
        <f>IF(M90=0,"",M90)</f>
        <v>-1.7961549133896715</v>
      </c>
      <c r="H90" s="39" t="s">
        <v>1859</v>
      </c>
      <c r="K90" s="116">
        <v>6.387522148911073E-14</v>
      </c>
      <c r="L90" s="120">
        <v>-365.001433444647</v>
      </c>
      <c r="M90" s="117">
        <v>-1.7961549133896715</v>
      </c>
      <c r="N90" s="116"/>
      <c r="O90" s="117"/>
      <c r="P90" s="118"/>
      <c r="Q90" s="117"/>
      <c r="S90" s="40">
        <f t="shared" si="1"/>
        <v>2.1563840648877435E-13</v>
      </c>
      <c r="T90" s="40">
        <f t="shared" si="5"/>
        <v>2.1563840648877435E-13</v>
      </c>
      <c r="U90" s="15">
        <f>L90*Rfac</f>
        <v>-0.7253308485412026</v>
      </c>
      <c r="V90" s="116"/>
      <c r="W90" s="116"/>
      <c r="X90" s="117"/>
      <c r="Y90" s="117"/>
    </row>
    <row r="91" spans="2:25" ht="15">
      <c r="B91" s="49" t="s">
        <v>41</v>
      </c>
      <c r="C91" s="14" t="s">
        <v>42</v>
      </c>
      <c r="D91" s="100">
        <f t="shared" si="2"/>
        <v>1.3075388985988158E-13</v>
      </c>
      <c r="E91" s="100">
        <f t="shared" si="3"/>
        <v>7.4E-13</v>
      </c>
      <c r="F91" s="101">
        <f t="shared" si="4"/>
        <v>1.033344</v>
      </c>
      <c r="G91" s="101">
        <f>IF(M91=0,"",M91)</f>
      </c>
      <c r="H91" s="39" t="s">
        <v>1859</v>
      </c>
      <c r="K91" s="116">
        <v>7.4E-13</v>
      </c>
      <c r="L91" s="120">
        <v>520</v>
      </c>
      <c r="M91" s="117">
        <v>0</v>
      </c>
      <c r="N91" s="116"/>
      <c r="O91" s="117"/>
      <c r="P91" s="118"/>
      <c r="Q91" s="117"/>
      <c r="S91" s="40">
        <f t="shared" si="1"/>
        <v>1.3075388985988158E-13</v>
      </c>
      <c r="T91" s="40">
        <f t="shared" si="5"/>
        <v>1.3075388985988158E-13</v>
      </c>
      <c r="U91" s="15">
        <f>L91*Rfac</f>
        <v>1.033344</v>
      </c>
      <c r="V91" s="116"/>
      <c r="W91" s="116"/>
      <c r="X91" s="117"/>
      <c r="Y91" s="117"/>
    </row>
    <row r="92" spans="1:25" ht="15">
      <c r="A92" s="13" t="s">
        <v>43</v>
      </c>
      <c r="D92" s="95"/>
      <c r="E92" s="95"/>
      <c r="F92" s="96"/>
      <c r="G92" s="96"/>
      <c r="J92" s="38"/>
      <c r="K92" s="109"/>
      <c r="L92" s="110"/>
      <c r="M92" s="111"/>
      <c r="N92" s="112"/>
      <c r="O92" s="111"/>
      <c r="P92" s="113"/>
      <c r="Q92" s="111"/>
      <c r="S92" s="40">
        <f>IF(OR(H92="T",H92="C"),T92,IF(H92="F",(V92/(1+(V92/T92)))*Q92^(1/(1+((LOG10(V92/T92)/R92)^2))),IF(H92="S1",T92+V92,IF(H92="S2",T92+(V92/(1+(V92/#REF!))),""))))</f>
      </c>
      <c r="T92" s="109"/>
      <c r="U92" s="111"/>
      <c r="V92" s="112"/>
      <c r="W92" s="112"/>
      <c r="X92" s="111"/>
      <c r="Y92" s="111"/>
    </row>
    <row r="93" spans="2:25" ht="15">
      <c r="B93" s="49" t="s">
        <v>44</v>
      </c>
      <c r="C93" s="14" t="s">
        <v>45</v>
      </c>
      <c r="D93" s="100">
        <f>IF(OR(H93="T",H93="C"),S93,H93)</f>
        <v>9.227407317352389E-12</v>
      </c>
      <c r="E93" s="100">
        <f>IF(H93="C","",K93)</f>
        <v>2.6E-12</v>
      </c>
      <c r="F93" s="101">
        <f>IF(H93="C","",U93)</f>
        <v>-0.755136</v>
      </c>
      <c r="G93" s="101">
        <f>IF(M93=0,"",M93)</f>
      </c>
      <c r="H93" s="39" t="s">
        <v>1859</v>
      </c>
      <c r="K93" s="116">
        <v>2.6E-12</v>
      </c>
      <c r="L93" s="120">
        <v>-380</v>
      </c>
      <c r="M93" s="117">
        <v>0</v>
      </c>
      <c r="N93" s="116"/>
      <c r="O93" s="117"/>
      <c r="P93" s="118"/>
      <c r="Q93" s="117"/>
      <c r="S93" s="40">
        <f aca="true" t="shared" si="6" ref="S93:S98">IF(OR(H93="T",H93="C"),T93,IF(H93="F",(V93/(1+(V93/T93)))*Q93^(1/(1+((LOG10(V93/T93)/R93)^2))),IF(H93="S1",T93+V93,IF(H93="S2",T93+(V93/(1+(V93/T94))),""))))</f>
        <v>9.227407317352389E-12</v>
      </c>
      <c r="T93" s="40">
        <f>K93*EXP(-L93/T$4)*((T$4/300)^M93)</f>
        <v>9.227407317352389E-12</v>
      </c>
      <c r="U93" s="15">
        <f>L93*Rfac</f>
        <v>-0.755136</v>
      </c>
      <c r="V93" s="116"/>
      <c r="W93" s="116"/>
      <c r="X93" s="117"/>
      <c r="Y93" s="117"/>
    </row>
    <row r="94" spans="2:25" ht="15">
      <c r="B94" s="49" t="s">
        <v>46</v>
      </c>
      <c r="C94" s="14" t="s">
        <v>47</v>
      </c>
      <c r="D94" s="100">
        <f>IF(OR(H94="T",H94="C"),S94,H94)</f>
        <v>7.632504030811315E-12</v>
      </c>
      <c r="E94" s="100">
        <f>IF(H94="C","",K94)</f>
        <v>3.8E-13</v>
      </c>
      <c r="F94" s="101">
        <f>IF(H94="C","",U94)</f>
        <v>-1.78848</v>
      </c>
      <c r="G94" s="101">
        <f>IF(M94=0,"",M94)</f>
      </c>
      <c r="H94" s="39" t="s">
        <v>1859</v>
      </c>
      <c r="K94" s="116">
        <v>3.8E-13</v>
      </c>
      <c r="L94" s="120">
        <v>-900</v>
      </c>
      <c r="M94" s="117">
        <v>0</v>
      </c>
      <c r="N94" s="116"/>
      <c r="O94" s="117"/>
      <c r="P94" s="118"/>
      <c r="Q94" s="117"/>
      <c r="S94" s="40">
        <f t="shared" si="6"/>
        <v>7.632504030811315E-12</v>
      </c>
      <c r="T94" s="40">
        <f>K94*EXP(-L94/T$4)*((T$4/300)^M94)</f>
        <v>7.632504030811315E-12</v>
      </c>
      <c r="U94" s="15">
        <f>L94*Rfac</f>
        <v>-1.78848</v>
      </c>
      <c r="V94" s="116"/>
      <c r="W94" s="116"/>
      <c r="X94" s="117"/>
      <c r="Y94" s="117"/>
    </row>
    <row r="95" spans="2:25" ht="15">
      <c r="B95" s="49" t="s">
        <v>48</v>
      </c>
      <c r="C95" s="14" t="s">
        <v>49</v>
      </c>
      <c r="D95" s="100">
        <f>IF(OR(H95="T",H95="C"),S95,H95)</f>
        <v>2.3E-12</v>
      </c>
      <c r="E95" s="100">
        <f>IF(H95="C","",K95)</f>
      </c>
      <c r="F95" s="101">
        <f>IF(H95="C","",U95)</f>
      </c>
      <c r="G95" s="101">
        <f>IF(M95=0,"",M95)</f>
      </c>
      <c r="H95" s="39" t="s">
        <v>1851</v>
      </c>
      <c r="K95" s="116">
        <v>2.3E-12</v>
      </c>
      <c r="L95" s="120"/>
      <c r="M95" s="117"/>
      <c r="N95" s="116"/>
      <c r="O95" s="117"/>
      <c r="P95" s="118"/>
      <c r="Q95" s="117"/>
      <c r="S95" s="40">
        <f t="shared" si="6"/>
        <v>2.3E-12</v>
      </c>
      <c r="T95" s="40">
        <f>K95*EXP(-L95/T$4)*((T$4/300)^M95)</f>
        <v>2.3E-12</v>
      </c>
      <c r="U95" s="15">
        <f>L95*Rfac</f>
        <v>0</v>
      </c>
      <c r="V95" s="116"/>
      <c r="W95" s="116"/>
      <c r="X95" s="117"/>
      <c r="Y95" s="117"/>
    </row>
    <row r="96" spans="2:25" ht="25.5">
      <c r="B96" s="49" t="s">
        <v>50</v>
      </c>
      <c r="C96" s="14" t="s">
        <v>1551</v>
      </c>
      <c r="D96" s="100">
        <f>IF(OR(H96="T",H96="C"),S96,H96)</f>
        <v>2E-13</v>
      </c>
      <c r="E96" s="100">
        <f>IF(H96="C","",K96)</f>
      </c>
      <c r="F96" s="101">
        <f>IF(H96="C","",U96)</f>
      </c>
      <c r="G96" s="101">
        <f>IF(M96=0,"",M96)</f>
      </c>
      <c r="H96" s="39" t="s">
        <v>1851</v>
      </c>
      <c r="K96" s="116">
        <v>2E-13</v>
      </c>
      <c r="L96" s="120"/>
      <c r="M96" s="117"/>
      <c r="N96" s="116"/>
      <c r="O96" s="117"/>
      <c r="P96" s="118"/>
      <c r="Q96" s="117"/>
      <c r="S96" s="40">
        <f t="shared" si="6"/>
        <v>2E-13</v>
      </c>
      <c r="T96" s="40">
        <f>K96*EXP(-L96/T$4)*((T$4/300)^M96)</f>
        <v>2E-13</v>
      </c>
      <c r="U96" s="15">
        <f>L96*Rfac</f>
        <v>0</v>
      </c>
      <c r="V96" s="116"/>
      <c r="W96" s="116"/>
      <c r="X96" s="117"/>
      <c r="Y96" s="117"/>
    </row>
    <row r="97" spans="2:25" ht="15">
      <c r="B97" s="49" t="s">
        <v>52</v>
      </c>
      <c r="C97" s="14" t="s">
        <v>53</v>
      </c>
      <c r="D97" s="100">
        <f>IF(OR(H97="T",H97="C"),S97,H97)</f>
        <v>3.5E-14</v>
      </c>
      <c r="E97" s="100">
        <f>IF(H97="C","",K97)</f>
      </c>
      <c r="F97" s="101">
        <f>IF(H97="C","",U97)</f>
      </c>
      <c r="G97" s="101">
        <f>IF(M97=0,"",M97)</f>
      </c>
      <c r="H97" s="39" t="s">
        <v>1851</v>
      </c>
      <c r="K97" s="116">
        <v>3.5E-14</v>
      </c>
      <c r="L97" s="120"/>
      <c r="M97" s="117"/>
      <c r="N97" s="116"/>
      <c r="O97" s="117"/>
      <c r="P97" s="118"/>
      <c r="Q97" s="117"/>
      <c r="S97" s="40">
        <f>IF(OR(H97="T",H97="C"),T97,IF(H97="F",(V97/(1+(V97/T97)))*Q97^(1/(1+((LOG10(V97/T97)/R97)^2))),IF(H97="S1",T97+V97,IF(H97="S2",T97+(V97/(1+(V97/#REF!))),""))))</f>
        <v>3.5E-14</v>
      </c>
      <c r="T97" s="40">
        <f>K97*EXP(-L97/T$4)*((T$4/300)^M97)</f>
        <v>3.5E-14</v>
      </c>
      <c r="U97" s="15">
        <f>L97*Rfac</f>
        <v>0</v>
      </c>
      <c r="V97" s="116"/>
      <c r="W97" s="116"/>
      <c r="X97" s="117"/>
      <c r="Y97" s="117"/>
    </row>
    <row r="98" spans="2:25" ht="15">
      <c r="B98" s="49" t="s">
        <v>54</v>
      </c>
      <c r="C98" s="14" t="s">
        <v>55</v>
      </c>
      <c r="D98" s="97" t="str">
        <f aca="true" t="shared" si="7" ref="D98:D103">IF(H98="S",CONCATENATE("Same k as rxn ",I98),H98)</f>
        <v>Same k as rxn BR07</v>
      </c>
      <c r="E98" s="98"/>
      <c r="F98" s="98"/>
      <c r="G98" s="99"/>
      <c r="H98" s="39" t="s">
        <v>56</v>
      </c>
      <c r="I98" s="49" t="s">
        <v>44</v>
      </c>
      <c r="K98" s="116" t="s">
        <v>1861</v>
      </c>
      <c r="L98" s="120"/>
      <c r="M98" s="117"/>
      <c r="N98" s="116"/>
      <c r="O98" s="117"/>
      <c r="P98" s="118"/>
      <c r="Q98" s="117"/>
      <c r="S98" s="40">
        <f t="shared" si="6"/>
      </c>
      <c r="T98" s="116"/>
      <c r="U98" s="117"/>
      <c r="V98" s="116"/>
      <c r="W98" s="116"/>
      <c r="X98" s="117"/>
      <c r="Y98" s="117"/>
    </row>
    <row r="99" spans="2:25" ht="15">
      <c r="B99" s="49" t="s">
        <v>57</v>
      </c>
      <c r="C99" s="14" t="s">
        <v>58</v>
      </c>
      <c r="D99" s="97" t="str">
        <f t="shared" si="7"/>
        <v>Same k as rxn BR08</v>
      </c>
      <c r="E99" s="98"/>
      <c r="F99" s="98"/>
      <c r="G99" s="99"/>
      <c r="H99" s="39" t="s">
        <v>56</v>
      </c>
      <c r="I99" s="49" t="s">
        <v>46</v>
      </c>
      <c r="K99" s="116" t="s">
        <v>1861</v>
      </c>
      <c r="L99" s="120"/>
      <c r="M99" s="117"/>
      <c r="N99" s="116"/>
      <c r="O99" s="117"/>
      <c r="P99" s="118"/>
      <c r="Q99" s="117"/>
      <c r="S99" s="40">
        <f>IF(OR(H99="T",H99="C"),T99,IF(H99="F",(V99/(1+(V99/T99)))*Q99^(1/(1+((LOG10(V99/T99)/R99)^2))),IF(H99="S1",T99+V99,IF(H99="S2",T99+(V99/(1+(V99/T101))),""))))</f>
      </c>
      <c r="T99" s="116"/>
      <c r="U99" s="117"/>
      <c r="V99" s="116"/>
      <c r="W99" s="116"/>
      <c r="X99" s="117"/>
      <c r="Y99" s="117"/>
    </row>
    <row r="100" spans="2:25" ht="15">
      <c r="B100" s="49" t="s">
        <v>59</v>
      </c>
      <c r="C100" s="14" t="s">
        <v>60</v>
      </c>
      <c r="D100" s="97" t="str">
        <f t="shared" si="7"/>
        <v>Same k as rxn BR09</v>
      </c>
      <c r="E100" s="98"/>
      <c r="F100" s="98"/>
      <c r="G100" s="99"/>
      <c r="H100" s="39" t="s">
        <v>56</v>
      </c>
      <c r="I100" s="49" t="s">
        <v>48</v>
      </c>
      <c r="K100" s="116" t="s">
        <v>1861</v>
      </c>
      <c r="L100" s="120"/>
      <c r="M100" s="117"/>
      <c r="N100" s="116"/>
      <c r="O100" s="117"/>
      <c r="P100" s="118"/>
      <c r="Q100" s="117"/>
      <c r="S100" s="40">
        <f>IF(OR(H100="T",H100="C"),T100,IF(H100="F",(V100/(1+(V100/T100)))*Q100^(1/(1+((LOG10(V100/T100)/R100)^2))),IF(H100="S1",T100+V100,IF(H100="S2",T100+(V100/(1+(V100/T102))),""))))</f>
      </c>
      <c r="T100" s="116"/>
      <c r="U100" s="117"/>
      <c r="V100" s="116"/>
      <c r="W100" s="116"/>
      <c r="X100" s="117"/>
      <c r="Y100" s="117"/>
    </row>
    <row r="101" spans="2:25" ht="25.5">
      <c r="B101" s="49" t="s">
        <v>61</v>
      </c>
      <c r="C101" s="14" t="s">
        <v>1552</v>
      </c>
      <c r="D101" s="97" t="str">
        <f t="shared" si="7"/>
        <v>Same k as rxn BR10</v>
      </c>
      <c r="E101" s="98"/>
      <c r="F101" s="98"/>
      <c r="G101" s="99"/>
      <c r="H101" s="39" t="s">
        <v>56</v>
      </c>
      <c r="I101" s="49" t="s">
        <v>50</v>
      </c>
      <c r="K101" s="116" t="s">
        <v>1861</v>
      </c>
      <c r="L101" s="120"/>
      <c r="M101" s="117"/>
      <c r="N101" s="116"/>
      <c r="O101" s="117"/>
      <c r="P101" s="118"/>
      <c r="Q101" s="117"/>
      <c r="S101" s="40">
        <f>IF(OR(H101="T",H101="C"),T101,IF(H101="F",(V101/(1+(V101/T101)))*Q101^(1/(1+((LOG10(V101/T101)/R101)^2))),IF(H101="S1",T101+V101,IF(H101="S2",T101+(V101/(1+(V101/T100))),""))))</f>
      </c>
      <c r="T101" s="116"/>
      <c r="U101" s="117"/>
      <c r="V101" s="116"/>
      <c r="W101" s="116"/>
      <c r="X101" s="117"/>
      <c r="Y101" s="117"/>
    </row>
    <row r="102" spans="2:25" ht="15">
      <c r="B102" s="49" t="s">
        <v>63</v>
      </c>
      <c r="C102" s="14" t="s">
        <v>64</v>
      </c>
      <c r="D102" s="97" t="str">
        <f t="shared" si="7"/>
        <v>Same k as rxn BR11</v>
      </c>
      <c r="E102" s="98"/>
      <c r="F102" s="98"/>
      <c r="G102" s="99"/>
      <c r="H102" s="39" t="s">
        <v>56</v>
      </c>
      <c r="I102" s="49" t="s">
        <v>52</v>
      </c>
      <c r="K102" s="116" t="s">
        <v>1861</v>
      </c>
      <c r="L102" s="120"/>
      <c r="M102" s="117"/>
      <c r="N102" s="116"/>
      <c r="O102" s="117"/>
      <c r="P102" s="118"/>
      <c r="Q102" s="117"/>
      <c r="S102" s="40">
        <f>IF(OR(H102="T",H102="C"),T102,IF(H102="F",(V102/(1+(V102/T102)))*Q102^(1/(1+((LOG10(V102/T102)/R102)^2))),IF(H102="S1",T102+V102,IF(H102="S2",T102+(V102/(1+(V102/#REF!))),""))))</f>
      </c>
      <c r="T102" s="116"/>
      <c r="U102" s="117"/>
      <c r="V102" s="116"/>
      <c r="W102" s="116"/>
      <c r="X102" s="117"/>
      <c r="Y102" s="117"/>
    </row>
    <row r="103" spans="2:25" ht="15">
      <c r="B103" s="49" t="s">
        <v>65</v>
      </c>
      <c r="C103" s="14" t="s">
        <v>66</v>
      </c>
      <c r="D103" s="97" t="str">
        <f t="shared" si="7"/>
        <v>Same k as rxn BR11</v>
      </c>
      <c r="E103" s="98"/>
      <c r="F103" s="98"/>
      <c r="G103" s="99"/>
      <c r="H103" s="39" t="s">
        <v>56</v>
      </c>
      <c r="I103" s="49" t="s">
        <v>52</v>
      </c>
      <c r="K103" s="116" t="s">
        <v>1861</v>
      </c>
      <c r="L103" s="120"/>
      <c r="M103" s="117"/>
      <c r="N103" s="116"/>
      <c r="O103" s="117"/>
      <c r="P103" s="118"/>
      <c r="Q103" s="117"/>
      <c r="S103" s="40">
        <f aca="true" t="shared" si="8" ref="S103:S109">IF(OR(H103="T",H103="C"),T103,IF(H103="F",(V103/(1+(V103/T103)))*Q103^(1/(1+((LOG10(V103/T103)/R103)^2))),IF(H103="S1",T103+V103,IF(H103="S2",T103+(V103/(1+(V103/T104))),""))))</f>
      </c>
      <c r="T103" s="116"/>
      <c r="U103" s="117"/>
      <c r="V103" s="116"/>
      <c r="W103" s="116"/>
      <c r="X103" s="117"/>
      <c r="Y103" s="117"/>
    </row>
    <row r="104" spans="1:25" ht="15">
      <c r="A104" s="13" t="s">
        <v>67</v>
      </c>
      <c r="D104" s="95"/>
      <c r="E104" s="95"/>
      <c r="F104" s="96"/>
      <c r="G104" s="96"/>
      <c r="J104" s="38"/>
      <c r="K104" s="109"/>
      <c r="L104" s="110"/>
      <c r="M104" s="111"/>
      <c r="N104" s="112"/>
      <c r="O104" s="111"/>
      <c r="P104" s="113"/>
      <c r="Q104" s="111"/>
      <c r="S104" s="40">
        <f t="shared" si="8"/>
      </c>
      <c r="T104" s="109"/>
      <c r="U104" s="111"/>
      <c r="V104" s="112"/>
      <c r="W104" s="112"/>
      <c r="X104" s="111"/>
      <c r="Y104" s="111"/>
    </row>
    <row r="105" spans="2:25" ht="15">
      <c r="B105" s="49" t="s">
        <v>68</v>
      </c>
      <c r="C105" s="14" t="s">
        <v>69</v>
      </c>
      <c r="D105" s="100">
        <f>S105</f>
        <v>9.372072349568304E-12</v>
      </c>
      <c r="E105" s="102" t="str">
        <f>IF(H105="F","Falloff, F="&amp;TEXT(Q105,"0.00")&amp;", N="&amp;TEXT(R105,"0.00"),H105)</f>
        <v>Falloff, F=0.30, N=1.41</v>
      </c>
      <c r="F105" s="103"/>
      <c r="G105" s="99"/>
      <c r="H105" s="39" t="s">
        <v>1843</v>
      </c>
      <c r="K105" s="116">
        <v>1.21E-11</v>
      </c>
      <c r="L105" s="120">
        <v>0</v>
      </c>
      <c r="M105" s="117">
        <v>-0.9</v>
      </c>
      <c r="N105" s="116">
        <v>2.7E-28</v>
      </c>
      <c r="O105" s="120">
        <v>0</v>
      </c>
      <c r="P105" s="118">
        <v>-7.1</v>
      </c>
      <c r="Q105" s="117">
        <v>0.3</v>
      </c>
      <c r="R105" s="15">
        <f>0.75-(1.27*LOG10(Q105))</f>
        <v>1.4140560065060288</v>
      </c>
      <c r="S105" s="40">
        <f t="shared" si="8"/>
        <v>9.372072349568304E-12</v>
      </c>
      <c r="T105" s="40">
        <f>K105*EXP(-L105/T$4)*((T$4/300)^M105)</f>
        <v>1.21E-11</v>
      </c>
      <c r="U105" s="15">
        <f>L105*Rfac</f>
        <v>0</v>
      </c>
      <c r="V105" s="40">
        <f>W105*V$3*7.3395E+21/T$4</f>
        <v>6.60555E-09</v>
      </c>
      <c r="W105" s="40">
        <f>N105*EXP(-O105/T$4)*(T$4/300)^P105</f>
        <v>2.7E-28</v>
      </c>
      <c r="X105" s="15">
        <f>O105*Rfac</f>
        <v>0</v>
      </c>
      <c r="Y105" s="15"/>
    </row>
    <row r="106" spans="2:19" ht="15">
      <c r="B106" s="49" t="s">
        <v>1861</v>
      </c>
      <c r="D106" s="104" t="str">
        <f>IF(H105="F","0: ",H105)</f>
        <v>0: </v>
      </c>
      <c r="E106" s="100">
        <f>N105</f>
        <v>2.7E-28</v>
      </c>
      <c r="F106" s="101">
        <f>X105</f>
        <v>0</v>
      </c>
      <c r="G106" s="101">
        <f>P105</f>
        <v>-7.1</v>
      </c>
      <c r="K106" s="116"/>
      <c r="L106" s="120"/>
      <c r="M106" s="117"/>
      <c r="N106" s="116"/>
      <c r="O106" s="120"/>
      <c r="P106" s="118"/>
      <c r="Q106" s="117"/>
      <c r="S106" s="40">
        <f t="shared" si="8"/>
      </c>
    </row>
    <row r="107" spans="2:19" ht="15">
      <c r="B107" s="49" t="s">
        <v>1861</v>
      </c>
      <c r="D107" s="104" t="str">
        <f>IF(H105="F","inf: ",H105)</f>
        <v>inf: </v>
      </c>
      <c r="E107" s="100">
        <f>K105</f>
        <v>1.21E-11</v>
      </c>
      <c r="F107" s="101">
        <f>U105</f>
        <v>0</v>
      </c>
      <c r="G107" s="101">
        <f>M105</f>
        <v>-0.9</v>
      </c>
      <c r="K107" s="116"/>
      <c r="L107" s="120"/>
      <c r="M107" s="117"/>
      <c r="N107" s="116"/>
      <c r="O107" s="120"/>
      <c r="P107" s="118"/>
      <c r="Q107" s="117"/>
      <c r="S107" s="40">
        <f t="shared" si="8"/>
      </c>
    </row>
    <row r="108" spans="2:25" ht="15">
      <c r="B108" s="49" t="s">
        <v>70</v>
      </c>
      <c r="C108" s="14" t="s">
        <v>71</v>
      </c>
      <c r="D108" s="100">
        <f>S108</f>
        <v>0.0006266960745495685</v>
      </c>
      <c r="E108" s="102" t="str">
        <f>IF(H108="F","Falloff, F="&amp;TEXT(Q108,"0.00")&amp;", N="&amp;TEXT(R108,"0.00"),H108)</f>
        <v>Falloff, F=0.30, N=1.41</v>
      </c>
      <c r="F108" s="103"/>
      <c r="G108" s="99"/>
      <c r="H108" s="39" t="s">
        <v>1843</v>
      </c>
      <c r="K108" s="116">
        <v>40000000000000000</v>
      </c>
      <c r="L108" s="120">
        <v>13600</v>
      </c>
      <c r="M108" s="117">
        <v>0</v>
      </c>
      <c r="N108" s="116">
        <v>0.0049</v>
      </c>
      <c r="O108" s="120">
        <v>12100</v>
      </c>
      <c r="P108" s="118">
        <v>0</v>
      </c>
      <c r="Q108" s="117">
        <v>0.3</v>
      </c>
      <c r="R108" s="15">
        <f>0.75-(1.27*LOG10(Q108))</f>
        <v>1.4140560065060288</v>
      </c>
      <c r="S108" s="40">
        <f t="shared" si="8"/>
        <v>0.0006266960745495685</v>
      </c>
      <c r="T108" s="40">
        <f>K108*EXP(-L108/T$4)*((T$4/300)^M108)</f>
        <v>0.00082043367602515</v>
      </c>
      <c r="U108" s="15">
        <f>L108*Rfac</f>
        <v>27.025920000000003</v>
      </c>
      <c r="V108" s="40">
        <f>W108*V$3*7.3395E+21/T$4</f>
        <v>0.36491960549975455</v>
      </c>
      <c r="W108" s="40">
        <f>N108*EXP(-O108/T$4)*(T$4/300)^P108</f>
        <v>1.4915986327396466E-20</v>
      </c>
      <c r="X108" s="15">
        <f>O108*Rfac</f>
        <v>24.04512</v>
      </c>
      <c r="Y108" s="15"/>
    </row>
    <row r="109" spans="2:19" ht="15">
      <c r="B109" s="49" t="s">
        <v>1861</v>
      </c>
      <c r="D109" s="104" t="str">
        <f>IF(H108="F","0: ",H108)</f>
        <v>0: </v>
      </c>
      <c r="E109" s="100">
        <f>N108</f>
        <v>0.0049</v>
      </c>
      <c r="F109" s="101">
        <f>X108</f>
        <v>24.04512</v>
      </c>
      <c r="G109" s="101">
        <f>P108</f>
        <v>0</v>
      </c>
      <c r="K109" s="116"/>
      <c r="L109" s="120"/>
      <c r="M109" s="117"/>
      <c r="N109" s="116"/>
      <c r="O109" s="120"/>
      <c r="P109" s="118"/>
      <c r="Q109" s="117"/>
      <c r="S109" s="40">
        <f t="shared" si="8"/>
      </c>
    </row>
    <row r="110" spans="2:19" ht="15">
      <c r="B110" s="49" t="s">
        <v>1861</v>
      </c>
      <c r="D110" s="104" t="str">
        <f>IF(H108="F","inf: ",H108)</f>
        <v>inf: </v>
      </c>
      <c r="E110" s="100">
        <f>K108</f>
        <v>40000000000000000</v>
      </c>
      <c r="F110" s="101">
        <f>U108</f>
        <v>27.025920000000003</v>
      </c>
      <c r="G110" s="101">
        <f>M108</f>
        <v>0</v>
      </c>
      <c r="K110" s="116"/>
      <c r="L110" s="120"/>
      <c r="M110" s="117"/>
      <c r="N110" s="116"/>
      <c r="O110" s="120"/>
      <c r="P110" s="118"/>
      <c r="Q110" s="117"/>
      <c r="S110" s="40">
        <f>IF(OR(H110="T",H110="C"),T110,IF(H110="F",(V110/(1+(V110/T110)))*Q110^(1/(1+((LOG10(V110/T110)/R110)^2))),IF(H110="S1",T110+V110,IF(H110="S2",T110+(V110/(1+(V110/T112))),""))))</f>
      </c>
    </row>
    <row r="111" spans="2:19" ht="25.5">
      <c r="B111" s="49" t="s">
        <v>72</v>
      </c>
      <c r="C111" s="14" t="s">
        <v>73</v>
      </c>
      <c r="D111" s="97" t="str">
        <f>IF(H111="P",CONCATENATE("Phot Set= ",I111,IF(J111=0,"",CONCATENATE(", qy= ",TEXT(J111,"0.0e+0")))),H111)</f>
        <v>Phot Set= PAN</v>
      </c>
      <c r="E111" s="98"/>
      <c r="F111" s="98"/>
      <c r="G111" s="99"/>
      <c r="H111" s="39" t="s">
        <v>1856</v>
      </c>
      <c r="I111" s="49" t="s">
        <v>1470</v>
      </c>
      <c r="K111" s="116"/>
      <c r="L111" s="120"/>
      <c r="M111" s="117"/>
      <c r="N111" s="116"/>
      <c r="O111" s="120"/>
      <c r="P111" s="118"/>
      <c r="Q111" s="117"/>
      <c r="S111" s="40"/>
    </row>
    <row r="112" spans="2:25" ht="15">
      <c r="B112" s="49" t="s">
        <v>74</v>
      </c>
      <c r="C112" s="14" t="s">
        <v>75</v>
      </c>
      <c r="D112" s="100">
        <f>IF(OR(H112="T",H112="C"),S112,H112)</f>
        <v>1.971874462599941E-11</v>
      </c>
      <c r="E112" s="100">
        <f>IF(H112="C","",K112)</f>
        <v>7.5E-12</v>
      </c>
      <c r="F112" s="101">
        <f>IF(H112="C","",U112)</f>
        <v>-0.576288</v>
      </c>
      <c r="G112" s="101">
        <f>IF(M112=0,"",M112)</f>
      </c>
      <c r="H112" s="39" t="s">
        <v>1859</v>
      </c>
      <c r="K112" s="116">
        <v>7.5E-12</v>
      </c>
      <c r="L112" s="120">
        <v>-290</v>
      </c>
      <c r="M112" s="117">
        <v>0</v>
      </c>
      <c r="N112" s="116"/>
      <c r="O112" s="117"/>
      <c r="P112" s="118"/>
      <c r="Q112" s="117"/>
      <c r="S112" s="40">
        <f>IF(OR(H112="T",H112="C"),T112,IF(H112="F",(V112/(1+(V112/T112)))*Q112^(1/(1+((LOG10(V112/T112)/R112)^2))),IF(H112="S1",T112+V112,IF(H112="S2",T112+(V112/(1+(V112/T113))),""))))</f>
        <v>1.971874462599941E-11</v>
      </c>
      <c r="T112" s="40">
        <f>K112*EXP(-L112/T$4)*((T$4/300)^M112)</f>
        <v>1.971874462599941E-11</v>
      </c>
      <c r="U112" s="15">
        <f>L112*Rfac</f>
        <v>-0.576288</v>
      </c>
      <c r="V112" s="116"/>
      <c r="W112" s="116"/>
      <c r="X112" s="117"/>
      <c r="Y112" s="117"/>
    </row>
    <row r="113" spans="2:25" ht="25.5">
      <c r="B113" s="49" t="s">
        <v>76</v>
      </c>
      <c r="C113" s="14" t="s">
        <v>1764</v>
      </c>
      <c r="D113" s="100">
        <f>IF(OR(H113="T",H113="C"),S113,H113)</f>
        <v>1.3636366063119997E-11</v>
      </c>
      <c r="E113" s="100">
        <f>IF(H113="C","",K113)</f>
        <v>5.2E-13</v>
      </c>
      <c r="F113" s="101">
        <f>IF(H113="C","",U113)</f>
        <v>-1.947456</v>
      </c>
      <c r="G113" s="101">
        <f>IF(M113=0,"",M113)</f>
      </c>
      <c r="H113" s="39" t="s">
        <v>1859</v>
      </c>
      <c r="K113" s="116">
        <v>5.2E-13</v>
      </c>
      <c r="L113" s="120">
        <v>-980</v>
      </c>
      <c r="M113" s="117">
        <v>0</v>
      </c>
      <c r="N113" s="116"/>
      <c r="O113" s="117"/>
      <c r="P113" s="118"/>
      <c r="Q113" s="117"/>
      <c r="S113" s="40">
        <f>IF(OR(H113="T",H113="C"),T113,IF(H113="F",(V113/(1+(V113/T113)))*Q113^(1/(1+((LOG10(V113/T113)/R113)^2))),IF(H113="S1",T113+V113,IF(H113="S2",T113+(V113/(1+(V113/T114))),""))))</f>
        <v>1.3636366063119997E-11</v>
      </c>
      <c r="T113" s="40">
        <f>K113*EXP(-L113/T$4)*((T$4/300)^M113)</f>
        <v>1.3636366063119997E-11</v>
      </c>
      <c r="U113" s="15">
        <f>L113*Rfac</f>
        <v>-1.947456</v>
      </c>
      <c r="V113" s="116"/>
      <c r="W113" s="116"/>
      <c r="X113" s="117"/>
      <c r="Y113" s="117"/>
    </row>
    <row r="114" spans="2:25" ht="15">
      <c r="B114" s="49" t="s">
        <v>77</v>
      </c>
      <c r="C114" s="14" t="s">
        <v>78</v>
      </c>
      <c r="D114" s="97" t="str">
        <f>IF(H114="S",CONCATENATE("Same k as rxn ",I114),H114)</f>
        <v>Same k as rxn BR09</v>
      </c>
      <c r="E114" s="98"/>
      <c r="F114" s="98"/>
      <c r="G114" s="99"/>
      <c r="H114" s="39" t="s">
        <v>56</v>
      </c>
      <c r="I114" s="49" t="s">
        <v>48</v>
      </c>
      <c r="K114" s="116" t="s">
        <v>1861</v>
      </c>
      <c r="L114" s="120"/>
      <c r="M114" s="117"/>
      <c r="N114" s="116"/>
      <c r="O114" s="117"/>
      <c r="P114" s="118"/>
      <c r="Q114" s="117"/>
      <c r="S114" s="40">
        <f>IF(OR(H114="T",H114="C"),T114,IF(H114="F",(V114/(1+(V114/T114)))*Q114^(1/(1+((LOG10(V114/T114)/R114)^2))),IF(H114="S1",T114+V114,IF(H114="S2",T114+(V114/(1+(V114/T115))),""))))</f>
      </c>
      <c r="T114" s="116"/>
      <c r="U114" s="117"/>
      <c r="V114" s="116"/>
      <c r="W114" s="116"/>
      <c r="X114" s="117"/>
      <c r="Y114" s="117"/>
    </row>
    <row r="115" spans="2:25" ht="25.5">
      <c r="B115" s="49" t="s">
        <v>79</v>
      </c>
      <c r="C115" s="14" t="s">
        <v>440</v>
      </c>
      <c r="D115" s="100">
        <f>IF(OR(H115="T",H115="C"),S115,H115)</f>
        <v>1.0588980100940058E-11</v>
      </c>
      <c r="E115" s="100">
        <f>IF(H115="C","",K115)</f>
        <v>2E-12</v>
      </c>
      <c r="F115" s="101">
        <f>IF(H115="C","",U115)</f>
        <v>-0.9936</v>
      </c>
      <c r="G115" s="101">
        <f>IF(M115=0,"",M115)</f>
      </c>
      <c r="H115" s="39" t="s">
        <v>1859</v>
      </c>
      <c r="K115" s="116">
        <v>2E-12</v>
      </c>
      <c r="L115" s="120">
        <v>-500</v>
      </c>
      <c r="M115" s="117">
        <v>0</v>
      </c>
      <c r="N115" s="116"/>
      <c r="O115" s="117"/>
      <c r="P115" s="118"/>
      <c r="Q115" s="117"/>
      <c r="S115" s="40">
        <f>IF(OR(H115="T",H115="C"),T115,IF(H115="F",(V115/(1+(V115/T115)))*Q115^(1/(1+((LOG10(V115/T115)/R115)^2))),IF(H115="S1",T115+V115,IF(H115="S2",T115+(V115/(1+(V115/T116))),""))))</f>
        <v>1.0588980100940058E-11</v>
      </c>
      <c r="T115" s="40">
        <f>K115*EXP(-L115/T$4)*((T$4/300)^M115)</f>
        <v>1.0588980100940058E-11</v>
      </c>
      <c r="U115" s="15">
        <f>L115*Rfac</f>
        <v>-0.9936</v>
      </c>
      <c r="V115" s="116"/>
      <c r="W115" s="116"/>
      <c r="X115" s="117"/>
      <c r="Y115" s="117"/>
    </row>
    <row r="116" spans="2:25" ht="15">
      <c r="B116" s="49" t="s">
        <v>81</v>
      </c>
      <c r="C116" s="14" t="s">
        <v>441</v>
      </c>
      <c r="D116" s="100">
        <f>IF(OR(H116="T",H116="C"),S116,H116)</f>
        <v>1.5575296705381804E-11</v>
      </c>
      <c r="E116" s="100">
        <f>IF(H116="C","",K116)</f>
        <v>4.4E-13</v>
      </c>
      <c r="F116" s="101">
        <f>IF(H116="C","",U116)</f>
        <v>-2.126304</v>
      </c>
      <c r="G116" s="101">
        <f>IF(M116=0,"",M116)</f>
      </c>
      <c r="H116" s="39" t="s">
        <v>1859</v>
      </c>
      <c r="K116" s="116">
        <v>4.4E-13</v>
      </c>
      <c r="L116" s="120">
        <v>-1070</v>
      </c>
      <c r="M116" s="117">
        <v>0</v>
      </c>
      <c r="N116" s="116"/>
      <c r="O116" s="117"/>
      <c r="P116" s="118"/>
      <c r="Q116" s="117"/>
      <c r="S116" s="40">
        <f>IF(OR(H116="T",H116="C"),T116,IF(H116="F",(V116/(1+(V116/T116)))*Q116^(1/(1+((LOG10(V116/T116)/R116)^2))),IF(H116="S1",T116+V116,IF(H116="S2",T116+(V116/(1+(V116/#REF!))),""))))</f>
        <v>1.5575296705381804E-11</v>
      </c>
      <c r="T116" s="40">
        <f>K116*EXP(-L116/T$4)*((T$4/300)^M116)</f>
        <v>1.5575296705381804E-11</v>
      </c>
      <c r="U116" s="15">
        <f>L116*Rfac</f>
        <v>-2.126304</v>
      </c>
      <c r="V116" s="116"/>
      <c r="W116" s="116"/>
      <c r="X116" s="117"/>
      <c r="Y116" s="117"/>
    </row>
    <row r="117" spans="2:25" ht="15">
      <c r="B117" s="49" t="s">
        <v>83</v>
      </c>
      <c r="C117" s="14" t="s">
        <v>442</v>
      </c>
      <c r="D117" s="97" t="str">
        <f>IF(H117="S",CONCATENATE("Same k as rxn ",I117),H117)</f>
        <v>Same k as rxn BR25</v>
      </c>
      <c r="E117" s="98"/>
      <c r="F117" s="98"/>
      <c r="G117" s="99"/>
      <c r="H117" s="39" t="s">
        <v>56</v>
      </c>
      <c r="I117" s="49" t="s">
        <v>81</v>
      </c>
      <c r="K117" s="116" t="s">
        <v>1861</v>
      </c>
      <c r="L117" s="120"/>
      <c r="M117" s="117"/>
      <c r="N117" s="116"/>
      <c r="O117" s="117"/>
      <c r="P117" s="118"/>
      <c r="Q117" s="117"/>
      <c r="S117" s="40">
        <f aca="true" t="shared" si="9" ref="S117:S125">IF(OR(H117="T",H117="C"),T117,IF(H117="F",(V117/(1+(V117/T117)))*Q117^(1/(1+((LOG10(V117/T117)/R117)^2))),IF(H117="S1",T117+V117,IF(H117="S2",T117+(V117/(1+(V117/T118))),""))))</f>
      </c>
      <c r="T117" s="116"/>
      <c r="U117" s="117"/>
      <c r="V117" s="116"/>
      <c r="W117" s="116"/>
      <c r="X117" s="117"/>
      <c r="Y117" s="117"/>
    </row>
    <row r="118" spans="2:25" ht="15">
      <c r="B118" s="49" t="s">
        <v>85</v>
      </c>
      <c r="C118" s="14" t="s">
        <v>86</v>
      </c>
      <c r="D118" s="100">
        <f>IF(OR(H118="T",H118="C"),S118,H118)</f>
        <v>1.5354021146363087E-11</v>
      </c>
      <c r="E118" s="100">
        <f>IF(H118="C","",K118)</f>
        <v>2.9E-12</v>
      </c>
      <c r="F118" s="101">
        <f>IF(H118="C","",U118)</f>
        <v>-0.9936</v>
      </c>
      <c r="G118" s="101">
        <f>IF(M118=0,"",M118)</f>
      </c>
      <c r="H118" s="39" t="s">
        <v>1859</v>
      </c>
      <c r="K118" s="116">
        <v>2.9E-12</v>
      </c>
      <c r="L118" s="120">
        <v>-500</v>
      </c>
      <c r="M118" s="117">
        <v>0</v>
      </c>
      <c r="N118" s="116"/>
      <c r="O118" s="117"/>
      <c r="P118" s="118"/>
      <c r="Q118" s="117"/>
      <c r="S118" s="40">
        <f>IF(OR(H118="T",H118="C"),T118,IF(H118="F",(V118/(1+(V118/T118)))*Q118^(1/(1+((LOG10(V118/T118)/R118)^2))),IF(H118="S1",T118+V118,IF(H118="S2",T118+(V118/(1+(V118/#REF!))),""))))</f>
        <v>1.5354021146363087E-11</v>
      </c>
      <c r="T118" s="40">
        <f>K118*EXP(-L118/T$4)*((T$4/300)^M118)</f>
        <v>1.5354021146363087E-11</v>
      </c>
      <c r="U118" s="15">
        <f>L118*Rfac</f>
        <v>-0.9936</v>
      </c>
      <c r="V118" s="116"/>
      <c r="W118" s="116"/>
      <c r="X118" s="117"/>
      <c r="Y118" s="117"/>
    </row>
    <row r="119" spans="2:25" ht="15">
      <c r="B119" s="49" t="s">
        <v>87</v>
      </c>
      <c r="C119" s="14" t="s">
        <v>88</v>
      </c>
      <c r="D119" s="100">
        <f>IF(OR(H119="T",H119="C"),S119,H119)</f>
        <v>1.2140450561133726E-11</v>
      </c>
      <c r="E119" s="100">
        <f>IF(H119="C","",K119)</f>
        <v>1.214041998987502E-11</v>
      </c>
      <c r="F119" s="101">
        <f>IF(H119="C","",U119)</f>
        <v>-1.5012115445307018E-06</v>
      </c>
      <c r="G119" s="101">
        <f>IF(M119=0,"",M119)</f>
        <v>-1.0676730384999173</v>
      </c>
      <c r="H119" s="39" t="s">
        <v>1859</v>
      </c>
      <c r="K119" s="116">
        <v>1.214041998987502E-11</v>
      </c>
      <c r="L119" s="120">
        <v>-0.0007554405920544996</v>
      </c>
      <c r="M119" s="117">
        <v>-1.0676730384999173</v>
      </c>
      <c r="N119" s="116"/>
      <c r="O119" s="117"/>
      <c r="P119" s="118"/>
      <c r="Q119" s="117"/>
      <c r="S119" s="40">
        <f t="shared" si="9"/>
        <v>1.2140450561133726E-11</v>
      </c>
      <c r="T119" s="40">
        <f>K119*EXP(-L119/T$4)*((T$4/300)^M119)</f>
        <v>1.2140450561133726E-11</v>
      </c>
      <c r="U119" s="15">
        <f>L119*Rfac</f>
        <v>-1.5012115445307018E-06</v>
      </c>
      <c r="V119" s="116"/>
      <c r="W119" s="116"/>
      <c r="X119" s="117"/>
      <c r="Y119" s="117"/>
    </row>
    <row r="120" spans="2:25" ht="15">
      <c r="B120" s="49" t="s">
        <v>89</v>
      </c>
      <c r="C120" s="14" t="s">
        <v>90</v>
      </c>
      <c r="D120" s="100">
        <f>IF(OR(H120="T",H120="C"),S120,H120)</f>
        <v>0.0005481017221070449</v>
      </c>
      <c r="E120" s="100">
        <f>IF(H120="C","",K120)</f>
        <v>83000000000000000</v>
      </c>
      <c r="F120" s="101">
        <f>IF(H120="C","",U120)</f>
        <v>27.701568</v>
      </c>
      <c r="G120" s="101">
        <f>IF(M120=0,"",M120)</f>
      </c>
      <c r="H120" s="39" t="s">
        <v>1859</v>
      </c>
      <c r="K120" s="116">
        <v>83000000000000000</v>
      </c>
      <c r="L120" s="120">
        <v>13940</v>
      </c>
      <c r="M120" s="117">
        <v>0</v>
      </c>
      <c r="N120" s="116"/>
      <c r="O120" s="117"/>
      <c r="P120" s="118"/>
      <c r="Q120" s="117"/>
      <c r="S120" s="40">
        <f>IF(OR(H120="T",H120="C"),T120,IF(H120="F",(V120/(1+(V120/T120)))*Q120^(1/(1+((LOG10(V120/T120)/R120)^2))),IF(H120="S1",T120+V120,IF(H120="S2",T120+(V120/(1+(V120/T122))),""))))</f>
        <v>0.0005481017221070449</v>
      </c>
      <c r="T120" s="40">
        <f>K120*EXP(-L120/T$4)*((T$4/300)^M120)</f>
        <v>0.0005481017221070449</v>
      </c>
      <c r="U120" s="15">
        <f>L120*Rfac</f>
        <v>27.701568</v>
      </c>
      <c r="V120" s="116"/>
      <c r="W120" s="116"/>
      <c r="X120" s="117"/>
      <c r="Y120" s="117"/>
    </row>
    <row r="121" spans="2:25" ht="25.5">
      <c r="B121" s="49" t="s">
        <v>91</v>
      </c>
      <c r="C121" s="14" t="s">
        <v>1544</v>
      </c>
      <c r="D121" s="97" t="str">
        <f>IF(H121="P",CONCATENATE("Phot Set= ",I121,IF(J121=0,"",CONCATENATE(", qy= ",TEXT(J121,"0.0e+0")))),H121)</f>
        <v>Phot Set= PAN</v>
      </c>
      <c r="E121" s="98"/>
      <c r="F121" s="98"/>
      <c r="G121" s="99"/>
      <c r="H121" s="39" t="s">
        <v>1856</v>
      </c>
      <c r="I121" s="49" t="s">
        <v>1470</v>
      </c>
      <c r="K121" s="116"/>
      <c r="L121" s="120"/>
      <c r="M121" s="117"/>
      <c r="N121" s="116"/>
      <c r="O121" s="117"/>
      <c r="P121" s="118"/>
      <c r="Q121" s="117"/>
      <c r="S121" s="40"/>
      <c r="T121" s="40"/>
      <c r="U121" s="15"/>
      <c r="V121" s="116"/>
      <c r="W121" s="116"/>
      <c r="X121" s="117"/>
      <c r="Y121" s="117"/>
    </row>
    <row r="122" spans="2:25" ht="25.5">
      <c r="B122" s="49" t="s">
        <v>93</v>
      </c>
      <c r="C122" s="14" t="s">
        <v>92</v>
      </c>
      <c r="D122" s="100">
        <f>IF(OR(H122="T",H122="C"),S122,H122)</f>
        <v>2.0810150234689525E-11</v>
      </c>
      <c r="E122" s="100">
        <f>IF(H122="C","",K122)</f>
        <v>6.7E-12</v>
      </c>
      <c r="F122" s="101">
        <f>IF(H122="C","",U122)</f>
        <v>-0.675648</v>
      </c>
      <c r="G122" s="101">
        <f>IF(M122=0,"",M122)</f>
      </c>
      <c r="H122" s="39" t="s">
        <v>1859</v>
      </c>
      <c r="K122" s="116">
        <v>6.7E-12</v>
      </c>
      <c r="L122" s="120">
        <v>-340</v>
      </c>
      <c r="M122" s="117">
        <v>0</v>
      </c>
      <c r="N122" s="116"/>
      <c r="O122" s="117"/>
      <c r="P122" s="118"/>
      <c r="Q122" s="117"/>
      <c r="S122" s="40">
        <f t="shared" si="9"/>
        <v>2.0810150234689525E-11</v>
      </c>
      <c r="T122" s="40">
        <f>K122*EXP(-L122/T$4)*((T$4/300)^M122)</f>
        <v>2.0810150234689525E-11</v>
      </c>
      <c r="U122" s="15">
        <f>L122*Rfac</f>
        <v>-0.675648</v>
      </c>
      <c r="V122" s="116"/>
      <c r="W122" s="116"/>
      <c r="X122" s="117"/>
      <c r="Y122" s="117"/>
    </row>
    <row r="123" spans="2:25" ht="25.5">
      <c r="B123" s="49" t="s">
        <v>94</v>
      </c>
      <c r="C123" s="14" t="s">
        <v>1765</v>
      </c>
      <c r="D123" s="97" t="str">
        <f aca="true" t="shared" si="10" ref="D123:D129">IF(H123="S",CONCATENATE("Same k as rxn ",I123),H123)</f>
        <v>Same k as rxn BR22</v>
      </c>
      <c r="E123" s="98"/>
      <c r="F123" s="98"/>
      <c r="G123" s="99"/>
      <c r="H123" s="39" t="s">
        <v>56</v>
      </c>
      <c r="I123" s="49" t="s">
        <v>76</v>
      </c>
      <c r="K123" s="116" t="s">
        <v>1861</v>
      </c>
      <c r="L123" s="120"/>
      <c r="M123" s="117"/>
      <c r="N123" s="116"/>
      <c r="O123" s="117"/>
      <c r="P123" s="118"/>
      <c r="Q123" s="117"/>
      <c r="S123" s="40">
        <f t="shared" si="9"/>
      </c>
      <c r="T123" s="116"/>
      <c r="U123" s="117"/>
      <c r="V123" s="116"/>
      <c r="W123" s="116"/>
      <c r="X123" s="117"/>
      <c r="Y123" s="117"/>
    </row>
    <row r="124" spans="2:25" ht="25.5">
      <c r="B124" s="49" t="s">
        <v>96</v>
      </c>
      <c r="C124" s="14" t="s">
        <v>95</v>
      </c>
      <c r="D124" s="97" t="str">
        <f t="shared" si="10"/>
        <v>Same k as rxn BR09</v>
      </c>
      <c r="E124" s="98"/>
      <c r="F124" s="98"/>
      <c r="G124" s="99"/>
      <c r="H124" s="39" t="s">
        <v>56</v>
      </c>
      <c r="I124" s="49" t="s">
        <v>48</v>
      </c>
      <c r="K124" s="116"/>
      <c r="L124" s="120"/>
      <c r="M124" s="117"/>
      <c r="N124" s="116"/>
      <c r="O124" s="117"/>
      <c r="P124" s="118"/>
      <c r="Q124" s="117"/>
      <c r="S124" s="40">
        <f t="shared" si="9"/>
      </c>
      <c r="T124" s="116"/>
      <c r="U124" s="117"/>
      <c r="V124" s="116"/>
      <c r="W124" s="116"/>
      <c r="X124" s="117"/>
      <c r="Y124" s="117"/>
    </row>
    <row r="125" spans="2:25" ht="25.5">
      <c r="B125" s="49" t="s">
        <v>98</v>
      </c>
      <c r="C125" s="14" t="s">
        <v>443</v>
      </c>
      <c r="D125" s="97" t="str">
        <f t="shared" si="10"/>
        <v>Same k as rxn BR24</v>
      </c>
      <c r="E125" s="98"/>
      <c r="F125" s="98"/>
      <c r="G125" s="99"/>
      <c r="H125" s="39" t="s">
        <v>56</v>
      </c>
      <c r="I125" s="49" t="s">
        <v>79</v>
      </c>
      <c r="K125" s="116" t="s">
        <v>1861</v>
      </c>
      <c r="L125" s="120"/>
      <c r="M125" s="117"/>
      <c r="N125" s="116"/>
      <c r="O125" s="117"/>
      <c r="P125" s="118"/>
      <c r="Q125" s="117"/>
      <c r="S125" s="40">
        <f t="shared" si="9"/>
      </c>
      <c r="T125" s="116"/>
      <c r="U125" s="117"/>
      <c r="V125" s="116"/>
      <c r="W125" s="116"/>
      <c r="X125" s="117"/>
      <c r="Y125" s="117"/>
    </row>
    <row r="126" spans="2:25" ht="25.5">
      <c r="B126" s="49" t="s">
        <v>100</v>
      </c>
      <c r="C126" s="14" t="s">
        <v>1389</v>
      </c>
      <c r="D126" s="97" t="str">
        <f t="shared" si="10"/>
        <v>Same k as rxn BR25</v>
      </c>
      <c r="E126" s="98"/>
      <c r="F126" s="98"/>
      <c r="G126" s="99"/>
      <c r="H126" s="39" t="s">
        <v>56</v>
      </c>
      <c r="I126" s="49" t="s">
        <v>81</v>
      </c>
      <c r="K126" s="116" t="s">
        <v>1861</v>
      </c>
      <c r="L126" s="120"/>
      <c r="M126" s="117"/>
      <c r="N126" s="116"/>
      <c r="O126" s="117"/>
      <c r="P126" s="118"/>
      <c r="Q126" s="117"/>
      <c r="S126" s="40">
        <f>IF(OR(H126="T",H126="C"),T126,IF(H126="F",(V126/(1+(V126/T126)))*Q126^(1/(1+((LOG10(V126/T126)/R126)^2))),IF(H126="S1",T126+V126,IF(H126="S2",T126+(V126/(1+(V126/#REF!))),""))))</f>
      </c>
      <c r="T126" s="116"/>
      <c r="U126" s="117"/>
      <c r="V126" s="116"/>
      <c r="W126" s="116"/>
      <c r="X126" s="117"/>
      <c r="Y126" s="117"/>
    </row>
    <row r="127" spans="2:25" ht="25.5">
      <c r="B127" s="49" t="s">
        <v>102</v>
      </c>
      <c r="C127" s="14" t="s">
        <v>1390</v>
      </c>
      <c r="D127" s="97" t="str">
        <f t="shared" si="10"/>
        <v>Same k as rxn BR25</v>
      </c>
      <c r="E127" s="98"/>
      <c r="F127" s="98"/>
      <c r="G127" s="99"/>
      <c r="H127" s="39" t="s">
        <v>56</v>
      </c>
      <c r="I127" s="49" t="s">
        <v>81</v>
      </c>
      <c r="K127" s="116" t="s">
        <v>1861</v>
      </c>
      <c r="L127" s="120"/>
      <c r="M127" s="117"/>
      <c r="N127" s="116"/>
      <c r="O127" s="117"/>
      <c r="P127" s="118"/>
      <c r="Q127" s="117"/>
      <c r="S127" s="40">
        <f aca="true" t="shared" si="11" ref="S127:S136">IF(OR(H127="T",H127="C"),T127,IF(H127="F",(V127/(1+(V127/T127)))*Q127^(1/(1+((LOG10(V127/T127)/R127)^2))),IF(H127="S1",T127+V127,IF(H127="S2",T127+(V127/(1+(V127/T128))),""))))</f>
      </c>
      <c r="T127" s="116"/>
      <c r="U127" s="117"/>
      <c r="V127" s="116"/>
      <c r="W127" s="116"/>
      <c r="X127" s="117"/>
      <c r="Y127" s="117"/>
    </row>
    <row r="128" spans="2:25" ht="25.5">
      <c r="B128" s="49" t="s">
        <v>104</v>
      </c>
      <c r="C128" s="14" t="s">
        <v>103</v>
      </c>
      <c r="D128" s="97" t="str">
        <f t="shared" si="10"/>
        <v>Same k as rxn BR27</v>
      </c>
      <c r="E128" s="98"/>
      <c r="F128" s="98"/>
      <c r="G128" s="99"/>
      <c r="H128" s="39" t="s">
        <v>56</v>
      </c>
      <c r="I128" s="49" t="s">
        <v>85</v>
      </c>
      <c r="K128" s="116" t="s">
        <v>1861</v>
      </c>
      <c r="L128" s="120"/>
      <c r="M128" s="117"/>
      <c r="N128" s="116"/>
      <c r="O128" s="117"/>
      <c r="P128" s="118"/>
      <c r="Q128" s="117"/>
      <c r="S128" s="40">
        <f t="shared" si="11"/>
      </c>
      <c r="T128" s="116"/>
      <c r="U128" s="117"/>
      <c r="V128" s="116"/>
      <c r="W128" s="116"/>
      <c r="X128" s="117"/>
      <c r="Y128" s="117"/>
    </row>
    <row r="129" spans="2:25" ht="25.5">
      <c r="B129" s="49" t="s">
        <v>106</v>
      </c>
      <c r="C129" s="14" t="s">
        <v>105</v>
      </c>
      <c r="D129" s="97" t="str">
        <f t="shared" si="10"/>
        <v>Same k as rxn BR27</v>
      </c>
      <c r="E129" s="98"/>
      <c r="F129" s="98"/>
      <c r="G129" s="99"/>
      <c r="H129" s="39" t="s">
        <v>56</v>
      </c>
      <c r="I129" s="49" t="s">
        <v>85</v>
      </c>
      <c r="K129" s="116" t="s">
        <v>1861</v>
      </c>
      <c r="L129" s="120"/>
      <c r="M129" s="117"/>
      <c r="N129" s="116"/>
      <c r="O129" s="117"/>
      <c r="P129" s="118"/>
      <c r="Q129" s="117"/>
      <c r="S129" s="40">
        <f>IF(OR(H129="T",H129="C"),T129,IF(H129="F",(V129/(1+(V129/T129)))*Q129^(1/(1+((LOG10(V129/T129)/R129)^2))),IF(H129="S1",T129+V129,IF(H129="S2",T129+(V129/(1+(V129/#REF!))),""))))</f>
      </c>
      <c r="T129" s="116"/>
      <c r="U129" s="117"/>
      <c r="V129" s="116"/>
      <c r="W129" s="116"/>
      <c r="X129" s="117"/>
      <c r="Y129" s="117"/>
    </row>
    <row r="130" spans="2:25" ht="15">
      <c r="B130" s="49" t="s">
        <v>108</v>
      </c>
      <c r="C130" s="14" t="s">
        <v>107</v>
      </c>
      <c r="D130" s="100">
        <f>IF(OR(H130="T",H130="C"),S130,H130)</f>
        <v>1.37E-11</v>
      </c>
      <c r="E130" s="100">
        <f>IF(H130="C","",K130)</f>
      </c>
      <c r="F130" s="101">
        <f>IF(H130="C","",U130)</f>
      </c>
      <c r="G130" s="101">
        <f>IF(M130=0,"",M130)</f>
      </c>
      <c r="H130" s="39" t="s">
        <v>1851</v>
      </c>
      <c r="K130" s="116">
        <v>1.37E-11</v>
      </c>
      <c r="L130" s="120"/>
      <c r="M130" s="117"/>
      <c r="N130" s="116"/>
      <c r="O130" s="117"/>
      <c r="P130" s="118"/>
      <c r="Q130" s="117"/>
      <c r="S130" s="40">
        <f t="shared" si="11"/>
        <v>1.37E-11</v>
      </c>
      <c r="T130" s="40">
        <f>K130*EXP(-L130/T$4)*((T$4/300)^M130)</f>
        <v>1.37E-11</v>
      </c>
      <c r="U130" s="117"/>
      <c r="V130" s="116"/>
      <c r="W130" s="116"/>
      <c r="X130" s="117"/>
      <c r="Y130" s="117"/>
    </row>
    <row r="131" spans="2:25" ht="15">
      <c r="B131" s="49" t="s">
        <v>110</v>
      </c>
      <c r="C131" s="14" t="s">
        <v>109</v>
      </c>
      <c r="D131" s="100">
        <f>IF(OR(H131="T",H131="C"),S131,H131)</f>
        <v>0.00042712133880264195</v>
      </c>
      <c r="E131" s="100">
        <f>IF(H131="C","",K131)</f>
        <v>79000000000000000</v>
      </c>
      <c r="F131" s="101">
        <f>IF(H131="C","",U131)</f>
        <v>27.820800000000002</v>
      </c>
      <c r="G131" s="101">
        <f>IF(M131=0,"",M131)</f>
      </c>
      <c r="H131" s="39" t="s">
        <v>1859</v>
      </c>
      <c r="K131" s="116">
        <v>79000000000000000</v>
      </c>
      <c r="L131" s="120">
        <v>14000</v>
      </c>
      <c r="M131" s="117">
        <v>0</v>
      </c>
      <c r="N131" s="116"/>
      <c r="O131" s="117"/>
      <c r="P131" s="118"/>
      <c r="Q131" s="117"/>
      <c r="S131" s="40">
        <f>IF(OR(H131="T",H131="C"),T131,IF(H131="F",(V131/(1+(V131/T131)))*Q131^(1/(1+((LOG10(V131/T131)/R131)^2))),IF(H131="S1",T131+V131,IF(H131="S2",T131+(V131/(1+(V131/T133))),""))))</f>
        <v>0.00042712133880264195</v>
      </c>
      <c r="T131" s="40">
        <f>K131*EXP(-L131/T$4)*((T$4/300)^M131)</f>
        <v>0.00042712133880264195</v>
      </c>
      <c r="U131" s="15">
        <f>L131*Rfac</f>
        <v>27.820800000000002</v>
      </c>
      <c r="V131" s="116"/>
      <c r="W131" s="116"/>
      <c r="X131" s="117"/>
      <c r="Y131" s="117"/>
    </row>
    <row r="132" spans="2:25" ht="25.5">
      <c r="B132" s="49" t="s">
        <v>112</v>
      </c>
      <c r="C132" s="14" t="s">
        <v>1545</v>
      </c>
      <c r="D132" s="97" t="str">
        <f>IF(H132="P",CONCATENATE("Phot Set= ",I132,IF(J132=0,"",CONCATENATE(", qy= ",TEXT(J132,"0.0e+0")))),H132)</f>
        <v>Phot Set= PAN</v>
      </c>
      <c r="E132" s="98"/>
      <c r="F132" s="98"/>
      <c r="G132" s="99"/>
      <c r="H132" s="39" t="s">
        <v>1856</v>
      </c>
      <c r="I132" s="49" t="s">
        <v>1470</v>
      </c>
      <c r="K132" s="116"/>
      <c r="L132" s="120"/>
      <c r="M132" s="117"/>
      <c r="N132" s="116"/>
      <c r="O132" s="117"/>
      <c r="P132" s="118"/>
      <c r="Q132" s="117"/>
      <c r="S132" s="40"/>
      <c r="T132" s="40"/>
      <c r="U132" s="15"/>
      <c r="V132" s="116"/>
      <c r="W132" s="116"/>
      <c r="X132" s="117"/>
      <c r="Y132" s="117"/>
    </row>
    <row r="133" spans="2:25" ht="15">
      <c r="B133" s="49" t="s">
        <v>113</v>
      </c>
      <c r="C133" s="14" t="s">
        <v>111</v>
      </c>
      <c r="D133" s="97" t="str">
        <f aca="true" t="shared" si="12" ref="D133:D141">IF(H133="S",CONCATENATE("Same k as rxn ",I133),H133)</f>
        <v>Same k as rxn BR31</v>
      </c>
      <c r="E133" s="98"/>
      <c r="F133" s="98"/>
      <c r="G133" s="99"/>
      <c r="H133" s="39" t="s">
        <v>56</v>
      </c>
      <c r="I133" s="49" t="s">
        <v>93</v>
      </c>
      <c r="K133" s="116" t="s">
        <v>1861</v>
      </c>
      <c r="L133" s="120"/>
      <c r="M133" s="117"/>
      <c r="N133" s="116"/>
      <c r="O133" s="117"/>
      <c r="P133" s="118"/>
      <c r="Q133" s="117"/>
      <c r="S133" s="40">
        <f t="shared" si="11"/>
      </c>
      <c r="T133" s="116"/>
      <c r="U133" s="117"/>
      <c r="V133" s="116"/>
      <c r="W133" s="116"/>
      <c r="X133" s="117"/>
      <c r="Y133" s="117"/>
    </row>
    <row r="134" spans="2:25" ht="25.5">
      <c r="B134" s="49" t="s">
        <v>115</v>
      </c>
      <c r="C134" s="14" t="s">
        <v>1766</v>
      </c>
      <c r="D134" s="97" t="str">
        <f t="shared" si="12"/>
        <v>Same k as rxn BR22</v>
      </c>
      <c r="E134" s="98"/>
      <c r="F134" s="98"/>
      <c r="G134" s="99"/>
      <c r="H134" s="39" t="s">
        <v>56</v>
      </c>
      <c r="I134" s="49" t="s">
        <v>76</v>
      </c>
      <c r="K134" s="116" t="s">
        <v>1861</v>
      </c>
      <c r="L134" s="120"/>
      <c r="M134" s="117"/>
      <c r="N134" s="116"/>
      <c r="O134" s="117"/>
      <c r="P134" s="118"/>
      <c r="Q134" s="117"/>
      <c r="S134" s="40">
        <f t="shared" si="11"/>
      </c>
      <c r="T134" s="116"/>
      <c r="U134" s="117"/>
      <c r="V134" s="116"/>
      <c r="W134" s="116"/>
      <c r="X134" s="117"/>
      <c r="Y134" s="117"/>
    </row>
    <row r="135" spans="2:25" ht="25.5">
      <c r="B135" s="49" t="s">
        <v>117</v>
      </c>
      <c r="C135" s="14" t="s">
        <v>114</v>
      </c>
      <c r="D135" s="97" t="str">
        <f t="shared" si="12"/>
        <v>Same k as rxn BR09</v>
      </c>
      <c r="E135" s="98"/>
      <c r="F135" s="98"/>
      <c r="G135" s="99"/>
      <c r="H135" s="39" t="s">
        <v>56</v>
      </c>
      <c r="I135" s="49" t="s">
        <v>48</v>
      </c>
      <c r="K135" s="116"/>
      <c r="L135" s="120"/>
      <c r="M135" s="117"/>
      <c r="N135" s="116"/>
      <c r="O135" s="117"/>
      <c r="P135" s="118"/>
      <c r="Q135" s="117"/>
      <c r="S135" s="40">
        <f t="shared" si="11"/>
      </c>
      <c r="T135" s="116"/>
      <c r="U135" s="117"/>
      <c r="V135" s="116"/>
      <c r="W135" s="116"/>
      <c r="X135" s="117"/>
      <c r="Y135" s="117"/>
    </row>
    <row r="136" spans="2:25" ht="25.5">
      <c r="B136" s="49" t="s">
        <v>119</v>
      </c>
      <c r="C136" s="14" t="s">
        <v>444</v>
      </c>
      <c r="D136" s="97" t="str">
        <f t="shared" si="12"/>
        <v>Same k as rxn BR24</v>
      </c>
      <c r="E136" s="98"/>
      <c r="F136" s="98"/>
      <c r="G136" s="99"/>
      <c r="H136" s="39" t="s">
        <v>56</v>
      </c>
      <c r="I136" s="49" t="s">
        <v>79</v>
      </c>
      <c r="K136" s="116" t="s">
        <v>1861</v>
      </c>
      <c r="L136" s="120"/>
      <c r="M136" s="117"/>
      <c r="N136" s="116"/>
      <c r="O136" s="117"/>
      <c r="P136" s="118"/>
      <c r="Q136" s="117"/>
      <c r="S136" s="40">
        <f t="shared" si="11"/>
      </c>
      <c r="T136" s="116"/>
      <c r="U136" s="117"/>
      <c r="V136" s="116"/>
      <c r="W136" s="116"/>
      <c r="X136" s="117"/>
      <c r="Y136" s="117"/>
    </row>
    <row r="137" spans="2:25" ht="15">
      <c r="B137" s="49" t="s">
        <v>121</v>
      </c>
      <c r="C137" s="14" t="s">
        <v>445</v>
      </c>
      <c r="D137" s="97" t="str">
        <f t="shared" si="12"/>
        <v>Same k as rxn BR25</v>
      </c>
      <c r="E137" s="98"/>
      <c r="F137" s="98"/>
      <c r="G137" s="99"/>
      <c r="H137" s="39" t="s">
        <v>56</v>
      </c>
      <c r="I137" s="49" t="s">
        <v>81</v>
      </c>
      <c r="K137" s="116" t="s">
        <v>1861</v>
      </c>
      <c r="L137" s="120"/>
      <c r="M137" s="117"/>
      <c r="N137" s="116"/>
      <c r="O137" s="117"/>
      <c r="P137" s="118"/>
      <c r="Q137" s="117"/>
      <c r="S137" s="40">
        <f>IF(OR(H137="T",H137="C"),T137,IF(H137="F",(V137/(1+(V137/T137)))*Q137^(1/(1+((LOG10(V137/T137)/R137)^2))),IF(H137="S1",T137+V137,IF(H137="S2",T137+(V137/(1+(V137/#REF!))),""))))</f>
      </c>
      <c r="T137" s="116"/>
      <c r="U137" s="117"/>
      <c r="V137" s="116"/>
      <c r="W137" s="116"/>
      <c r="X137" s="117"/>
      <c r="Y137" s="117"/>
    </row>
    <row r="138" spans="2:25" ht="15">
      <c r="B138" s="49" t="s">
        <v>123</v>
      </c>
      <c r="C138" s="14" t="s">
        <v>446</v>
      </c>
      <c r="D138" s="97" t="str">
        <f t="shared" si="12"/>
        <v>Same k as rxn BR25</v>
      </c>
      <c r="E138" s="98"/>
      <c r="F138" s="98"/>
      <c r="G138" s="99"/>
      <c r="H138" s="39" t="s">
        <v>56</v>
      </c>
      <c r="I138" s="49" t="s">
        <v>81</v>
      </c>
      <c r="K138" s="116" t="s">
        <v>1861</v>
      </c>
      <c r="L138" s="120"/>
      <c r="M138" s="117"/>
      <c r="N138" s="116"/>
      <c r="O138" s="117"/>
      <c r="P138" s="118"/>
      <c r="Q138" s="117"/>
      <c r="S138" s="40">
        <f aca="true" t="shared" si="13" ref="S138:S148">IF(OR(H138="T",H138="C"),T138,IF(H138="F",(V138/(1+(V138/T138)))*Q138^(1/(1+((LOG10(V138/T138)/R138)^2))),IF(H138="S1",T138+V138,IF(H138="S2",T138+(V138/(1+(V138/T139))),""))))</f>
      </c>
      <c r="T138" s="116"/>
      <c r="U138" s="117"/>
      <c r="V138" s="116"/>
      <c r="W138" s="116"/>
      <c r="X138" s="117"/>
      <c r="Y138" s="117"/>
    </row>
    <row r="139" spans="2:25" ht="25.5">
      <c r="B139" s="49" t="s">
        <v>125</v>
      </c>
      <c r="C139" s="14" t="s">
        <v>122</v>
      </c>
      <c r="D139" s="97" t="str">
        <f t="shared" si="12"/>
        <v>Same k as rxn BR27</v>
      </c>
      <c r="E139" s="98"/>
      <c r="F139" s="98"/>
      <c r="G139" s="99"/>
      <c r="H139" s="39" t="s">
        <v>56</v>
      </c>
      <c r="I139" s="49" t="s">
        <v>85</v>
      </c>
      <c r="K139" s="116" t="s">
        <v>1861</v>
      </c>
      <c r="L139" s="120"/>
      <c r="M139" s="117"/>
      <c r="N139" s="116"/>
      <c r="O139" s="117"/>
      <c r="P139" s="118"/>
      <c r="Q139" s="117"/>
      <c r="S139" s="40">
        <f t="shared" si="13"/>
      </c>
      <c r="T139" s="116"/>
      <c r="U139" s="117"/>
      <c r="V139" s="116"/>
      <c r="W139" s="116"/>
      <c r="X139" s="117"/>
      <c r="Y139" s="117"/>
    </row>
    <row r="140" spans="2:25" ht="25.5">
      <c r="B140" s="49" t="s">
        <v>127</v>
      </c>
      <c r="C140" s="14" t="s">
        <v>124</v>
      </c>
      <c r="D140" s="97" t="str">
        <f t="shared" si="12"/>
        <v>Same k as rxn BR27</v>
      </c>
      <c r="E140" s="98"/>
      <c r="F140" s="98"/>
      <c r="G140" s="99"/>
      <c r="H140" s="39" t="s">
        <v>56</v>
      </c>
      <c r="I140" s="49" t="s">
        <v>85</v>
      </c>
      <c r="K140" s="116" t="s">
        <v>1861</v>
      </c>
      <c r="L140" s="120"/>
      <c r="M140" s="117"/>
      <c r="N140" s="116"/>
      <c r="O140" s="117"/>
      <c r="P140" s="118"/>
      <c r="Q140" s="117"/>
      <c r="S140" s="40">
        <f t="shared" si="13"/>
      </c>
      <c r="T140" s="116"/>
      <c r="U140" s="117"/>
      <c r="V140" s="116"/>
      <c r="W140" s="116"/>
      <c r="X140" s="117"/>
      <c r="Y140" s="117"/>
    </row>
    <row r="141" spans="2:25" ht="15">
      <c r="B141" s="49" t="s">
        <v>129</v>
      </c>
      <c r="C141" s="14" t="s">
        <v>126</v>
      </c>
      <c r="D141" s="97" t="str">
        <f t="shared" si="12"/>
        <v>Same k as rxn BR27</v>
      </c>
      <c r="E141" s="98"/>
      <c r="F141" s="98"/>
      <c r="G141" s="99"/>
      <c r="H141" s="39" t="s">
        <v>56</v>
      </c>
      <c r="I141" s="49" t="s">
        <v>85</v>
      </c>
      <c r="K141" s="116" t="s">
        <v>1861</v>
      </c>
      <c r="L141" s="120"/>
      <c r="M141" s="117"/>
      <c r="N141" s="116"/>
      <c r="O141" s="117"/>
      <c r="P141" s="118"/>
      <c r="Q141" s="117"/>
      <c r="S141" s="40">
        <f>IF(OR(H141="T",H141="C"),T141,IF(H141="F",(V141/(1+(V141/T141)))*Q141^(1/(1+((LOG10(V141/T141)/R141)^2))),IF(H141="S1",T141+V141,IF(H141="S2",T141+(V141/(1+(V141/#REF!))),""))))</f>
      </c>
      <c r="T141" s="116"/>
      <c r="U141" s="117"/>
      <c r="V141" s="116"/>
      <c r="W141" s="116"/>
      <c r="X141" s="117"/>
      <c r="Y141" s="117"/>
    </row>
    <row r="142" spans="2:25" ht="15">
      <c r="B142" s="49" t="s">
        <v>131</v>
      </c>
      <c r="C142" s="14" t="s">
        <v>128</v>
      </c>
      <c r="D142" s="97" t="str">
        <f>IF(H142="S",CONCATENATE("Same k as rxn ",I142),H142)</f>
        <v>Same k as rxn BR28</v>
      </c>
      <c r="E142" s="98"/>
      <c r="F142" s="98"/>
      <c r="G142" s="99"/>
      <c r="H142" s="39" t="s">
        <v>56</v>
      </c>
      <c r="I142" s="49" t="s">
        <v>87</v>
      </c>
      <c r="K142" s="116"/>
      <c r="L142" s="120"/>
      <c r="M142" s="117"/>
      <c r="N142" s="116"/>
      <c r="O142" s="117"/>
      <c r="P142" s="118"/>
      <c r="Q142" s="117"/>
      <c r="S142" s="40">
        <f t="shared" si="13"/>
      </c>
      <c r="T142" s="116"/>
      <c r="U142" s="117"/>
      <c r="V142" s="116"/>
      <c r="W142" s="116"/>
      <c r="X142" s="117"/>
      <c r="Y142" s="117"/>
    </row>
    <row r="143" spans="2:25" ht="15">
      <c r="B143" s="49" t="s">
        <v>133</v>
      </c>
      <c r="C143" s="14" t="s">
        <v>130</v>
      </c>
      <c r="D143" s="100">
        <f>IF(OR(H143="T",H143="C"),S143,H143)</f>
        <v>0.0004793835513945676</v>
      </c>
      <c r="E143" s="100">
        <f>IF(H143="C","",K143)</f>
        <v>16000000000000000</v>
      </c>
      <c r="F143" s="101">
        <f>IF(H143="C","",U143)</f>
        <v>26.8</v>
      </c>
      <c r="G143" s="101">
        <f>IF(M143=0,"",M143)</f>
      </c>
      <c r="H143" s="39" t="s">
        <v>1859</v>
      </c>
      <c r="K143" s="116">
        <v>16000000000000000</v>
      </c>
      <c r="L143" s="41">
        <v>13486.312399355877</v>
      </c>
      <c r="M143" s="117">
        <v>0</v>
      </c>
      <c r="N143" s="116"/>
      <c r="O143" s="117"/>
      <c r="P143" s="118"/>
      <c r="Q143" s="117"/>
      <c r="S143" s="40">
        <f>IF(OR(H143="T",H143="C"),T143,IF(H143="F",(V143/(1+(V143/T143)))*Q143^(1/(1+((LOG10(V143/T143)/R143)^2))),IF(H143="S1",T143+V143,IF(H143="S2",T143+(V143/(1+(V143/T145))),""))))</f>
        <v>0.0004793835513945676</v>
      </c>
      <c r="T143" s="40">
        <f>K143*EXP(-L143/T$4)*((T$4/300)^M143)</f>
        <v>0.0004793835513945676</v>
      </c>
      <c r="U143" s="15">
        <f>L143*Rfac</f>
        <v>26.8</v>
      </c>
      <c r="V143" s="116"/>
      <c r="W143" s="116"/>
      <c r="X143" s="117"/>
      <c r="Y143" s="117"/>
    </row>
    <row r="144" spans="2:25" ht="25.5">
      <c r="B144" s="49" t="s">
        <v>134</v>
      </c>
      <c r="C144" s="14" t="s">
        <v>1546</v>
      </c>
      <c r="D144" s="97" t="str">
        <f>IF(H144="P",CONCATENATE("Phot Set= ",I144,IF(J144=0,"",CONCATENATE(", qy= ",TEXT(J144,"0.0e+0")))),H144)</f>
        <v>Phot Set= PAN</v>
      </c>
      <c r="E144" s="98"/>
      <c r="F144" s="98"/>
      <c r="G144" s="99"/>
      <c r="H144" s="39" t="s">
        <v>1856</v>
      </c>
      <c r="I144" s="49" t="s">
        <v>1470</v>
      </c>
      <c r="K144" s="116"/>
      <c r="M144" s="117"/>
      <c r="N144" s="116"/>
      <c r="O144" s="117"/>
      <c r="P144" s="118"/>
      <c r="Q144" s="117"/>
      <c r="S144" s="40"/>
      <c r="T144" s="40"/>
      <c r="U144" s="15"/>
      <c r="V144" s="116"/>
      <c r="W144" s="116"/>
      <c r="X144" s="117"/>
      <c r="Y144" s="117"/>
    </row>
    <row r="145" spans="2:25" ht="25.5">
      <c r="B145" s="49" t="s">
        <v>136</v>
      </c>
      <c r="C145" s="14" t="s">
        <v>132</v>
      </c>
      <c r="D145" s="97" t="str">
        <f aca="true" t="shared" si="14" ref="D145:D154">IF(H145="S",CONCATENATE("Same k as rxn ",I145),H145)</f>
        <v>Same k as rxn BR31</v>
      </c>
      <c r="E145" s="98"/>
      <c r="F145" s="98"/>
      <c r="G145" s="99"/>
      <c r="H145" s="39" t="s">
        <v>56</v>
      </c>
      <c r="I145" s="49" t="s">
        <v>93</v>
      </c>
      <c r="K145" s="116"/>
      <c r="L145" s="120"/>
      <c r="M145" s="117"/>
      <c r="N145" s="116"/>
      <c r="O145" s="117"/>
      <c r="P145" s="118"/>
      <c r="Q145" s="117"/>
      <c r="S145" s="40">
        <f t="shared" si="13"/>
      </c>
      <c r="T145" s="116"/>
      <c r="U145" s="117"/>
      <c r="V145" s="116"/>
      <c r="W145" s="116"/>
      <c r="X145" s="117"/>
      <c r="Y145" s="117"/>
    </row>
    <row r="146" spans="2:25" ht="25.5">
      <c r="B146" s="49" t="s">
        <v>138</v>
      </c>
      <c r="C146" s="14" t="s">
        <v>1767</v>
      </c>
      <c r="D146" s="97" t="str">
        <f t="shared" si="14"/>
        <v>Same k as rxn BR22</v>
      </c>
      <c r="E146" s="98"/>
      <c r="F146" s="98"/>
      <c r="G146" s="99"/>
      <c r="H146" s="39" t="s">
        <v>56</v>
      </c>
      <c r="I146" s="49" t="s">
        <v>76</v>
      </c>
      <c r="K146" s="116"/>
      <c r="L146" s="120"/>
      <c r="M146" s="117"/>
      <c r="N146" s="116"/>
      <c r="O146" s="117"/>
      <c r="P146" s="118"/>
      <c r="Q146" s="117"/>
      <c r="S146" s="40">
        <f t="shared" si="13"/>
      </c>
      <c r="T146" s="116"/>
      <c r="U146" s="117"/>
      <c r="V146" s="116"/>
      <c r="W146" s="116"/>
      <c r="X146" s="117"/>
      <c r="Y146" s="117"/>
    </row>
    <row r="147" spans="2:25" ht="25.5">
      <c r="B147" s="49" t="s">
        <v>140</v>
      </c>
      <c r="C147" s="14" t="s">
        <v>135</v>
      </c>
      <c r="D147" s="97" t="str">
        <f t="shared" si="14"/>
        <v>Same k as rxn BR09</v>
      </c>
      <c r="E147" s="98"/>
      <c r="F147" s="98"/>
      <c r="G147" s="99"/>
      <c r="H147" s="39" t="s">
        <v>56</v>
      </c>
      <c r="I147" s="49" t="s">
        <v>48</v>
      </c>
      <c r="K147" s="116"/>
      <c r="L147" s="120"/>
      <c r="M147" s="117"/>
      <c r="N147" s="116"/>
      <c r="O147" s="117"/>
      <c r="P147" s="118"/>
      <c r="Q147" s="117"/>
      <c r="S147" s="40">
        <f t="shared" si="13"/>
      </c>
      <c r="T147" s="116"/>
      <c r="U147" s="117"/>
      <c r="V147" s="116"/>
      <c r="W147" s="116"/>
      <c r="X147" s="117"/>
      <c r="Y147" s="117"/>
    </row>
    <row r="148" spans="2:25" ht="25.5">
      <c r="B148" s="49" t="s">
        <v>142</v>
      </c>
      <c r="C148" s="14" t="s">
        <v>447</v>
      </c>
      <c r="D148" s="97" t="str">
        <f t="shared" si="14"/>
        <v>Same k as rxn BR24</v>
      </c>
      <c r="E148" s="98"/>
      <c r="F148" s="98"/>
      <c r="G148" s="99"/>
      <c r="H148" s="39" t="s">
        <v>56</v>
      </c>
      <c r="I148" s="49" t="s">
        <v>79</v>
      </c>
      <c r="K148" s="116"/>
      <c r="L148" s="120"/>
      <c r="M148" s="117"/>
      <c r="N148" s="116"/>
      <c r="O148" s="117"/>
      <c r="P148" s="118"/>
      <c r="Q148" s="117"/>
      <c r="S148" s="40">
        <f t="shared" si="13"/>
      </c>
      <c r="T148" s="116"/>
      <c r="U148" s="117"/>
      <c r="V148" s="116"/>
      <c r="W148" s="116"/>
      <c r="X148" s="117"/>
      <c r="Y148" s="117"/>
    </row>
    <row r="149" spans="2:25" ht="15">
      <c r="B149" s="49" t="s">
        <v>144</v>
      </c>
      <c r="C149" s="14" t="s">
        <v>448</v>
      </c>
      <c r="D149" s="97" t="str">
        <f t="shared" si="14"/>
        <v>Same k as rxn BR25</v>
      </c>
      <c r="E149" s="98"/>
      <c r="F149" s="98"/>
      <c r="G149" s="99"/>
      <c r="H149" s="39" t="s">
        <v>56</v>
      </c>
      <c r="I149" s="49" t="s">
        <v>81</v>
      </c>
      <c r="K149" s="116"/>
      <c r="L149" s="120"/>
      <c r="M149" s="117"/>
      <c r="N149" s="116"/>
      <c r="O149" s="117"/>
      <c r="P149" s="118"/>
      <c r="Q149" s="117"/>
      <c r="S149" s="40">
        <f>IF(OR(H149="T",H149="C"),T149,IF(H149="F",(V149/(1+(V149/T149)))*Q149^(1/(1+((LOG10(V149/T149)/R149)^2))),IF(H149="S1",T149+V149,IF(H149="S2",T149+(V149/(1+(V149/#REF!))),""))))</f>
      </c>
      <c r="T149" s="116"/>
      <c r="U149" s="117"/>
      <c r="V149" s="116"/>
      <c r="W149" s="116"/>
      <c r="X149" s="117"/>
      <c r="Y149" s="117"/>
    </row>
    <row r="150" spans="2:25" ht="15">
      <c r="B150" s="49" t="s">
        <v>146</v>
      </c>
      <c r="C150" s="14" t="s">
        <v>449</v>
      </c>
      <c r="D150" s="97" t="str">
        <f t="shared" si="14"/>
        <v>Same k as rxn BR25</v>
      </c>
      <c r="E150" s="98"/>
      <c r="F150" s="98"/>
      <c r="G150" s="99"/>
      <c r="H150" s="39" t="s">
        <v>56</v>
      </c>
      <c r="I150" s="49" t="s">
        <v>81</v>
      </c>
      <c r="K150" s="116"/>
      <c r="L150" s="120"/>
      <c r="M150" s="117"/>
      <c r="N150" s="116"/>
      <c r="O150" s="117"/>
      <c r="P150" s="118"/>
      <c r="Q150" s="117"/>
      <c r="S150" s="40">
        <f aca="true" t="shared" si="15" ref="S150:S159">IF(OR(H150="T",H150="C"),T150,IF(H150="F",(V150/(1+(V150/T150)))*Q150^(1/(1+((LOG10(V150/T150)/R150)^2))),IF(H150="S1",T150+V150,IF(H150="S2",T150+(V150/(1+(V150/T151))),""))))</f>
      </c>
      <c r="T150" s="116"/>
      <c r="U150" s="117"/>
      <c r="V150" s="116"/>
      <c r="W150" s="116"/>
      <c r="X150" s="117"/>
      <c r="Y150" s="117"/>
    </row>
    <row r="151" spans="2:25" ht="25.5">
      <c r="B151" s="49" t="s">
        <v>148</v>
      </c>
      <c r="C151" s="14" t="s">
        <v>143</v>
      </c>
      <c r="D151" s="97" t="str">
        <f t="shared" si="14"/>
        <v>Same k as rxn BR27</v>
      </c>
      <c r="E151" s="98"/>
      <c r="F151" s="98"/>
      <c r="G151" s="99"/>
      <c r="H151" s="39" t="s">
        <v>56</v>
      </c>
      <c r="I151" s="49" t="s">
        <v>85</v>
      </c>
      <c r="K151" s="116"/>
      <c r="L151" s="120"/>
      <c r="M151" s="117"/>
      <c r="N151" s="116"/>
      <c r="O151" s="117"/>
      <c r="P151" s="118"/>
      <c r="Q151" s="117"/>
      <c r="S151" s="40">
        <f t="shared" si="15"/>
      </c>
      <c r="T151" s="116"/>
      <c r="U151" s="117"/>
      <c r="V151" s="116"/>
      <c r="W151" s="116"/>
      <c r="X151" s="117"/>
      <c r="Y151" s="117"/>
    </row>
    <row r="152" spans="2:25" ht="25.5">
      <c r="B152" s="49" t="s">
        <v>151</v>
      </c>
      <c r="C152" s="14" t="s">
        <v>145</v>
      </c>
      <c r="D152" s="97" t="str">
        <f t="shared" si="14"/>
        <v>Same k as rxn BR27</v>
      </c>
      <c r="E152" s="98"/>
      <c r="F152" s="98"/>
      <c r="G152" s="99"/>
      <c r="H152" s="39" t="s">
        <v>56</v>
      </c>
      <c r="I152" s="49" t="s">
        <v>85</v>
      </c>
      <c r="K152" s="116"/>
      <c r="L152" s="120"/>
      <c r="M152" s="117"/>
      <c r="N152" s="116"/>
      <c r="O152" s="117"/>
      <c r="P152" s="118"/>
      <c r="Q152" s="117"/>
      <c r="S152" s="40">
        <f t="shared" si="15"/>
      </c>
      <c r="T152" s="116"/>
      <c r="U152" s="117"/>
      <c r="V152" s="116"/>
      <c r="W152" s="116"/>
      <c r="X152" s="117"/>
      <c r="Y152" s="117"/>
    </row>
    <row r="153" spans="2:25" ht="25.5">
      <c r="B153" s="49" t="s">
        <v>153</v>
      </c>
      <c r="C153" s="14" t="s">
        <v>147</v>
      </c>
      <c r="D153" s="97" t="str">
        <f t="shared" si="14"/>
        <v>Same k as rxn BR27</v>
      </c>
      <c r="E153" s="98"/>
      <c r="F153" s="98"/>
      <c r="G153" s="99"/>
      <c r="H153" s="39" t="s">
        <v>56</v>
      </c>
      <c r="I153" s="49" t="s">
        <v>85</v>
      </c>
      <c r="K153" s="116"/>
      <c r="L153" s="120"/>
      <c r="M153" s="117"/>
      <c r="N153" s="116"/>
      <c r="O153" s="117"/>
      <c r="P153" s="118"/>
      <c r="Q153" s="117"/>
      <c r="S153" s="40">
        <f t="shared" si="15"/>
      </c>
      <c r="T153" s="116"/>
      <c r="U153" s="117"/>
      <c r="V153" s="116"/>
      <c r="W153" s="116"/>
      <c r="X153" s="117"/>
      <c r="Y153" s="117"/>
    </row>
    <row r="154" spans="2:25" ht="25.5">
      <c r="B154" s="49" t="s">
        <v>155</v>
      </c>
      <c r="C154" s="14" t="s">
        <v>149</v>
      </c>
      <c r="D154" s="97" t="str">
        <f t="shared" si="14"/>
        <v>Same k as rxn BR27</v>
      </c>
      <c r="E154" s="98"/>
      <c r="F154" s="98"/>
      <c r="G154" s="99"/>
      <c r="H154" s="39" t="s">
        <v>56</v>
      </c>
      <c r="I154" s="49" t="s">
        <v>85</v>
      </c>
      <c r="K154" s="116"/>
      <c r="L154" s="120"/>
      <c r="M154" s="117"/>
      <c r="N154" s="116"/>
      <c r="O154" s="117"/>
      <c r="P154" s="118"/>
      <c r="Q154" s="117"/>
      <c r="S154" s="40">
        <f t="shared" si="15"/>
      </c>
      <c r="T154" s="116"/>
      <c r="U154" s="117"/>
      <c r="V154" s="116"/>
      <c r="W154" s="116"/>
      <c r="X154" s="117"/>
      <c r="Y154" s="117"/>
    </row>
    <row r="155" spans="1:25" ht="15">
      <c r="A155" s="13" t="s">
        <v>150</v>
      </c>
      <c r="D155" s="95"/>
      <c r="E155" s="95"/>
      <c r="F155" s="96"/>
      <c r="G155" s="96"/>
      <c r="J155" s="38"/>
      <c r="K155" s="109"/>
      <c r="L155" s="110"/>
      <c r="M155" s="111"/>
      <c r="N155" s="112"/>
      <c r="O155" s="111"/>
      <c r="P155" s="113"/>
      <c r="Q155" s="111"/>
      <c r="S155" s="40">
        <f t="shared" si="15"/>
      </c>
      <c r="T155" s="109"/>
      <c r="U155" s="111"/>
      <c r="V155" s="112"/>
      <c r="W155" s="112"/>
      <c r="X155" s="111"/>
      <c r="Y155" s="111"/>
    </row>
    <row r="156" spans="2:25" ht="15">
      <c r="B156" s="49" t="s">
        <v>157</v>
      </c>
      <c r="C156" s="14" t="s">
        <v>152</v>
      </c>
      <c r="D156" s="100">
        <f>IF(OR(H156="T",H156="C"),S156,H156)</f>
        <v>2.4E-11</v>
      </c>
      <c r="E156" s="100">
        <f>IF(H156="C","",K156)</f>
      </c>
      <c r="F156" s="101">
        <f>IF(H156="C","",U156)</f>
      </c>
      <c r="G156" s="101">
        <f>IF(M156=0,"",M156)</f>
      </c>
      <c r="H156" s="39" t="s">
        <v>1851</v>
      </c>
      <c r="K156" s="116">
        <v>2.4E-11</v>
      </c>
      <c r="L156" s="120"/>
      <c r="M156" s="117"/>
      <c r="N156" s="116"/>
      <c r="O156" s="117"/>
      <c r="P156" s="118"/>
      <c r="Q156" s="117"/>
      <c r="S156" s="40">
        <f t="shared" si="15"/>
        <v>2.4E-11</v>
      </c>
      <c r="T156" s="40">
        <f>K156*EXP(-L156/T$4)*((T$4/300)^M156)</f>
        <v>2.4E-11</v>
      </c>
      <c r="U156" s="117"/>
      <c r="V156" s="116"/>
      <c r="W156" s="116"/>
      <c r="X156" s="117"/>
      <c r="Y156" s="117"/>
    </row>
    <row r="157" spans="2:25" ht="15">
      <c r="B157" s="49" t="s">
        <v>159</v>
      </c>
      <c r="C157" s="14" t="s">
        <v>154</v>
      </c>
      <c r="D157" s="100">
        <f>IF(OR(H157="T",H157="C"),S157,H157)</f>
        <v>1184.624681561337</v>
      </c>
      <c r="E157" s="100">
        <f>IF(H157="C","",K157)</f>
        <v>750000000000000</v>
      </c>
      <c r="F157" s="101">
        <f>IF(H157="C","",U157)</f>
        <v>16.2</v>
      </c>
      <c r="G157" s="101">
        <f>IF(M157=0,"",M157)</f>
      </c>
      <c r="H157" s="39" t="s">
        <v>1859</v>
      </c>
      <c r="K157" s="116">
        <v>750000000000000</v>
      </c>
      <c r="L157" s="41">
        <v>8152.173913043477</v>
      </c>
      <c r="M157" s="117">
        <v>0</v>
      </c>
      <c r="N157" s="116"/>
      <c r="O157" s="117"/>
      <c r="P157" s="118"/>
      <c r="Q157" s="117"/>
      <c r="S157" s="40">
        <f>IF(OR(H157="T",H157="C"),T157,IF(H157="F",(V157/(1+(V157/T157)))*Q157^(1/(1+((LOG10(V157/T157)/R157)^2))),IF(H157="S1",T157+V157,IF(H157="S2",T157+(V157/(1+(V157/#REF!))),""))))</f>
        <v>1184.624681561337</v>
      </c>
      <c r="T157" s="40">
        <f>K157*EXP(-L157/T$4)*((T$4/300)^M157)</f>
        <v>1184.624681561337</v>
      </c>
      <c r="U157" s="15">
        <f>L157*Rfac</f>
        <v>16.2</v>
      </c>
      <c r="V157" s="116"/>
      <c r="W157" s="116"/>
      <c r="X157" s="117"/>
      <c r="Y157" s="117"/>
    </row>
    <row r="158" spans="2:25" ht="15">
      <c r="B158" s="49" t="s">
        <v>1547</v>
      </c>
      <c r="C158" s="14" t="s">
        <v>156</v>
      </c>
      <c r="D158" s="100">
        <f>IF(OR(H158="T",H158="C"),S158,H158)</f>
        <v>3.792058922610295E-11</v>
      </c>
      <c r="E158" s="100">
        <f>IF(H158="C","",K158)</f>
        <v>2.3E-11</v>
      </c>
      <c r="F158" s="101">
        <f>IF(H158="C","",U158)</f>
        <v>-0.29808</v>
      </c>
      <c r="G158" s="101">
        <f>IF(M158=0,"",M158)</f>
      </c>
      <c r="H158" s="39" t="s">
        <v>1859</v>
      </c>
      <c r="K158" s="116">
        <v>2.3E-11</v>
      </c>
      <c r="L158" s="120">
        <v>-150</v>
      </c>
      <c r="M158" s="117">
        <v>0</v>
      </c>
      <c r="N158" s="116"/>
      <c r="O158" s="117"/>
      <c r="P158" s="118"/>
      <c r="Q158" s="117"/>
      <c r="S158" s="40">
        <f t="shared" si="15"/>
        <v>3.792058922610295E-11</v>
      </c>
      <c r="T158" s="40">
        <f>K158*EXP(-L158/T$4)*((T$4/300)^M158)</f>
        <v>3.792058922610295E-11</v>
      </c>
      <c r="U158" s="15">
        <f>L158*Rfac</f>
        <v>-0.29808</v>
      </c>
      <c r="V158" s="116"/>
      <c r="W158" s="116"/>
      <c r="X158" s="117"/>
      <c r="Y158" s="117"/>
    </row>
    <row r="159" spans="2:25" ht="15">
      <c r="B159" s="49" t="s">
        <v>1548</v>
      </c>
      <c r="C159" s="14" t="s">
        <v>158</v>
      </c>
      <c r="D159" s="97" t="str">
        <f>IF(H159="S",CONCATENATE("Same k as rxn ",I159),H159)</f>
        <v>Same k as rxn BR08</v>
      </c>
      <c r="E159" s="98"/>
      <c r="F159" s="98"/>
      <c r="G159" s="99"/>
      <c r="H159" s="39" t="s">
        <v>56</v>
      </c>
      <c r="I159" s="49" t="s">
        <v>46</v>
      </c>
      <c r="K159" s="116" t="s">
        <v>1861</v>
      </c>
      <c r="L159" s="120"/>
      <c r="M159" s="117"/>
      <c r="N159" s="116"/>
      <c r="O159" s="117"/>
      <c r="P159" s="118"/>
      <c r="Q159" s="117"/>
      <c r="S159" s="40">
        <f t="shared" si="15"/>
      </c>
      <c r="T159" s="116"/>
      <c r="U159" s="117"/>
      <c r="V159" s="116"/>
      <c r="W159" s="116"/>
      <c r="X159" s="117"/>
      <c r="Y159" s="117"/>
    </row>
    <row r="160" spans="2:25" ht="15">
      <c r="B160" s="49" t="s">
        <v>1549</v>
      </c>
      <c r="C160" s="14" t="s">
        <v>160</v>
      </c>
      <c r="D160" s="100">
        <f>IF(OR(H160="T",H160="C"),S160,H160)</f>
        <v>0.001</v>
      </c>
      <c r="E160" s="100">
        <f>IF(H160="C","",K160)</f>
      </c>
      <c r="F160" s="101">
        <f>IF(H160="C","",U160)</f>
      </c>
      <c r="G160" s="101">
        <f>IF(M160=0,"",M160)</f>
      </c>
      <c r="H160" s="39" t="s">
        <v>1851</v>
      </c>
      <c r="K160" s="116">
        <v>0.001</v>
      </c>
      <c r="L160" s="120"/>
      <c r="M160" s="117"/>
      <c r="N160" s="116"/>
      <c r="O160" s="117"/>
      <c r="P160" s="118"/>
      <c r="Q160" s="117"/>
      <c r="S160" s="40">
        <f>IF(OR(H160="T",H160="C"),T160,IF(H160="F",(V160/(1+(V160/T160)))*Q160^(1/(1+((LOG10(V160/T160)/R160)^2))),IF(H160="S1",T160+V160,IF(H160="S2",T160+(V160/(1+(V160/#REF!))),""))))</f>
        <v>0.001</v>
      </c>
      <c r="T160" s="40">
        <f>K160*EXP(-L160/T$4)*((T$4/300)^M160)</f>
        <v>0.001</v>
      </c>
      <c r="U160" s="117"/>
      <c r="V160" s="116"/>
      <c r="W160" s="116"/>
      <c r="X160" s="117"/>
      <c r="Y160" s="117"/>
    </row>
    <row r="161" spans="1:25" ht="15">
      <c r="A161" s="13" t="s">
        <v>161</v>
      </c>
      <c r="D161" s="97"/>
      <c r="E161" s="98"/>
      <c r="F161" s="98"/>
      <c r="G161" s="99"/>
      <c r="K161" s="116"/>
      <c r="L161" s="120"/>
      <c r="M161" s="117"/>
      <c r="N161" s="116"/>
      <c r="O161" s="117"/>
      <c r="P161" s="118"/>
      <c r="Q161" s="117"/>
      <c r="S161" s="40"/>
      <c r="T161" s="116"/>
      <c r="U161" s="117"/>
      <c r="V161" s="116"/>
      <c r="W161" s="116"/>
      <c r="X161" s="117"/>
      <c r="Y161" s="117"/>
    </row>
    <row r="162" spans="2:25" ht="15">
      <c r="B162" s="49" t="s">
        <v>450</v>
      </c>
      <c r="C162" s="14" t="s">
        <v>202</v>
      </c>
      <c r="D162" s="97" t="str">
        <f>IF(H162="QS",CONCATENATE("Same k as rxn ",I162),H162)</f>
        <v>Same k as rxn BR07</v>
      </c>
      <c r="E162" s="97"/>
      <c r="F162" s="97"/>
      <c r="G162" s="97"/>
      <c r="H162" s="39" t="s">
        <v>203</v>
      </c>
      <c r="I162" s="49" t="s">
        <v>44</v>
      </c>
      <c r="K162" s="116"/>
      <c r="L162" s="120"/>
      <c r="M162" s="117"/>
      <c r="N162" s="116"/>
      <c r="O162" s="117"/>
      <c r="P162" s="118"/>
      <c r="Q162" s="117"/>
      <c r="S162" s="40"/>
      <c r="T162" s="116"/>
      <c r="U162" s="117"/>
      <c r="V162" s="116"/>
      <c r="W162" s="116"/>
      <c r="X162" s="117"/>
      <c r="Y162" s="117"/>
    </row>
    <row r="163" spans="2:25" ht="15">
      <c r="B163" s="49" t="s">
        <v>451</v>
      </c>
      <c r="C163" s="14" t="s">
        <v>205</v>
      </c>
      <c r="D163" s="97" t="str">
        <f aca="true" t="shared" si="16" ref="D163:D226">IF(H163="QS",CONCATENATE("Same k as rxn ",I163),H163)</f>
        <v>Same k as rxn BR08</v>
      </c>
      <c r="E163" s="97"/>
      <c r="F163" s="97"/>
      <c r="G163" s="97"/>
      <c r="H163" s="39" t="s">
        <v>203</v>
      </c>
      <c r="I163" s="49" t="s">
        <v>46</v>
      </c>
      <c r="K163" s="116"/>
      <c r="L163" s="120"/>
      <c r="M163" s="117"/>
      <c r="N163" s="116"/>
      <c r="O163" s="117"/>
      <c r="P163" s="118"/>
      <c r="Q163" s="117"/>
      <c r="S163" s="40"/>
      <c r="T163" s="116"/>
      <c r="U163" s="117"/>
      <c r="V163" s="116"/>
      <c r="W163" s="116"/>
      <c r="X163" s="117"/>
      <c r="Y163" s="117"/>
    </row>
    <row r="164" spans="2:25" ht="15">
      <c r="B164" s="49" t="s">
        <v>201</v>
      </c>
      <c r="C164" s="14" t="s">
        <v>207</v>
      </c>
      <c r="D164" s="97" t="str">
        <f t="shared" si="16"/>
        <v>Same k as rxn BR09</v>
      </c>
      <c r="E164" s="97"/>
      <c r="F164" s="97"/>
      <c r="G164" s="97"/>
      <c r="H164" s="39" t="s">
        <v>203</v>
      </c>
      <c r="I164" s="49" t="s">
        <v>48</v>
      </c>
      <c r="K164" s="116"/>
      <c r="L164" s="120"/>
      <c r="M164" s="117"/>
      <c r="N164" s="116"/>
      <c r="O164" s="117"/>
      <c r="P164" s="118"/>
      <c r="Q164" s="117"/>
      <c r="S164" s="40"/>
      <c r="T164" s="116"/>
      <c r="U164" s="117"/>
      <c r="V164" s="116"/>
      <c r="W164" s="116"/>
      <c r="X164" s="117"/>
      <c r="Y164" s="117"/>
    </row>
    <row r="165" spans="2:25" ht="15">
      <c r="B165" s="49" t="s">
        <v>204</v>
      </c>
      <c r="C165" s="14" t="s">
        <v>1188</v>
      </c>
      <c r="D165" s="97" t="str">
        <f t="shared" si="16"/>
        <v>Same k as rxn BR10</v>
      </c>
      <c r="E165" s="97"/>
      <c r="F165" s="97"/>
      <c r="G165" s="97"/>
      <c r="H165" s="39" t="s">
        <v>203</v>
      </c>
      <c r="I165" s="49" t="s">
        <v>50</v>
      </c>
      <c r="K165" s="116"/>
      <c r="L165" s="120"/>
      <c r="M165" s="117"/>
      <c r="N165" s="116"/>
      <c r="O165" s="117"/>
      <c r="P165" s="118"/>
      <c r="Q165" s="117"/>
      <c r="S165" s="40"/>
      <c r="T165" s="116"/>
      <c r="U165" s="117"/>
      <c r="V165" s="116"/>
      <c r="W165" s="116"/>
      <c r="X165" s="117"/>
      <c r="Y165" s="117"/>
    </row>
    <row r="166" spans="2:25" ht="15">
      <c r="B166" s="49" t="s">
        <v>206</v>
      </c>
      <c r="C166" s="14" t="s">
        <v>1189</v>
      </c>
      <c r="D166" s="97" t="str">
        <f t="shared" si="16"/>
        <v>Same k as rxn BR11</v>
      </c>
      <c r="E166" s="97"/>
      <c r="F166" s="97"/>
      <c r="G166" s="97"/>
      <c r="H166" s="39" t="s">
        <v>203</v>
      </c>
      <c r="I166" s="49" t="s">
        <v>52</v>
      </c>
      <c r="K166" s="116"/>
      <c r="L166" s="120"/>
      <c r="M166" s="117"/>
      <c r="N166" s="116"/>
      <c r="O166" s="117"/>
      <c r="P166" s="118"/>
      <c r="Q166" s="117"/>
      <c r="S166" s="40"/>
      <c r="T166" s="116"/>
      <c r="U166" s="117"/>
      <c r="V166" s="116"/>
      <c r="W166" s="116"/>
      <c r="X166" s="117"/>
      <c r="Y166" s="117"/>
    </row>
    <row r="167" spans="2:25" ht="15">
      <c r="B167" s="49" t="s">
        <v>208</v>
      </c>
      <c r="C167" s="14" t="s">
        <v>1190</v>
      </c>
      <c r="D167" s="97" t="str">
        <f t="shared" si="16"/>
        <v>Same k as rxn BR11</v>
      </c>
      <c r="E167" s="97"/>
      <c r="F167" s="97"/>
      <c r="G167" s="97"/>
      <c r="H167" s="39" t="s">
        <v>203</v>
      </c>
      <c r="I167" s="49" t="s">
        <v>52</v>
      </c>
      <c r="K167" s="116"/>
      <c r="L167" s="120"/>
      <c r="M167" s="117"/>
      <c r="N167" s="116"/>
      <c r="O167" s="117"/>
      <c r="P167" s="118"/>
      <c r="Q167" s="117"/>
      <c r="S167" s="40"/>
      <c r="T167" s="116"/>
      <c r="U167" s="117"/>
      <c r="V167" s="116"/>
      <c r="W167" s="116"/>
      <c r="X167" s="117"/>
      <c r="Y167" s="117"/>
    </row>
    <row r="168" spans="2:25" ht="15">
      <c r="B168" s="49" t="s">
        <v>209</v>
      </c>
      <c r="C168" s="14" t="s">
        <v>452</v>
      </c>
      <c r="D168" s="97" t="str">
        <f t="shared" si="16"/>
        <v>Same k as rxn BR25</v>
      </c>
      <c r="E168" s="97"/>
      <c r="F168" s="97"/>
      <c r="G168" s="97"/>
      <c r="H168" s="39" t="s">
        <v>203</v>
      </c>
      <c r="I168" s="49" t="s">
        <v>81</v>
      </c>
      <c r="K168" s="116"/>
      <c r="L168" s="120"/>
      <c r="M168" s="117"/>
      <c r="N168" s="116"/>
      <c r="O168" s="117"/>
      <c r="P168" s="118"/>
      <c r="Q168" s="117"/>
      <c r="S168" s="40"/>
      <c r="T168" s="116"/>
      <c r="U168" s="117"/>
      <c r="V168" s="116"/>
      <c r="W168" s="116"/>
      <c r="X168" s="117"/>
      <c r="Y168" s="117"/>
    </row>
    <row r="169" spans="2:25" ht="15">
      <c r="B169" s="49" t="s">
        <v>210</v>
      </c>
      <c r="C169" s="14" t="s">
        <v>453</v>
      </c>
      <c r="D169" s="97" t="str">
        <f t="shared" si="16"/>
        <v>Same k as rxn BR25</v>
      </c>
      <c r="E169" s="97"/>
      <c r="F169" s="97"/>
      <c r="G169" s="97"/>
      <c r="H169" s="39" t="s">
        <v>203</v>
      </c>
      <c r="I169" s="49" t="s">
        <v>81</v>
      </c>
      <c r="K169" s="116"/>
      <c r="L169" s="120"/>
      <c r="M169" s="117"/>
      <c r="N169" s="116"/>
      <c r="O169" s="117"/>
      <c r="P169" s="118"/>
      <c r="Q169" s="117"/>
      <c r="S169" s="40"/>
      <c r="T169" s="116"/>
      <c r="U169" s="117"/>
      <c r="V169" s="116"/>
      <c r="W169" s="116"/>
      <c r="X169" s="117"/>
      <c r="Y169" s="117"/>
    </row>
    <row r="170" spans="2:25" ht="15">
      <c r="B170" s="49" t="s">
        <v>211</v>
      </c>
      <c r="C170" s="14" t="s">
        <v>454</v>
      </c>
      <c r="D170" s="97" t="str">
        <f t="shared" si="16"/>
        <v>Same k as rxn BR25</v>
      </c>
      <c r="E170" s="97"/>
      <c r="F170" s="97"/>
      <c r="G170" s="97"/>
      <c r="H170" s="39" t="s">
        <v>203</v>
      </c>
      <c r="I170" s="49" t="s">
        <v>81</v>
      </c>
      <c r="K170" s="116"/>
      <c r="L170" s="120"/>
      <c r="M170" s="117"/>
      <c r="N170" s="116"/>
      <c r="O170" s="117"/>
      <c r="P170" s="118"/>
      <c r="Q170" s="117"/>
      <c r="S170" s="40"/>
      <c r="T170" s="116"/>
      <c r="U170" s="117"/>
      <c r="V170" s="116"/>
      <c r="W170" s="116"/>
      <c r="X170" s="117"/>
      <c r="Y170" s="117"/>
    </row>
    <row r="171" spans="2:25" ht="15">
      <c r="B171" s="49" t="s">
        <v>212</v>
      </c>
      <c r="C171" s="14" t="s">
        <v>455</v>
      </c>
      <c r="D171" s="97" t="str">
        <f t="shared" si="16"/>
        <v>Same k as rxn BR25</v>
      </c>
      <c r="E171" s="97"/>
      <c r="F171" s="97"/>
      <c r="G171" s="97"/>
      <c r="H171" s="39" t="s">
        <v>203</v>
      </c>
      <c r="I171" s="49" t="s">
        <v>81</v>
      </c>
      <c r="K171" s="116"/>
      <c r="L171" s="120"/>
      <c r="M171" s="117"/>
      <c r="N171" s="116"/>
      <c r="O171" s="117"/>
      <c r="P171" s="118"/>
      <c r="Q171" s="117"/>
      <c r="S171" s="40"/>
      <c r="T171" s="116"/>
      <c r="U171" s="117"/>
      <c r="V171" s="116"/>
      <c r="W171" s="116"/>
      <c r="X171" s="117"/>
      <c r="Y171" s="117"/>
    </row>
    <row r="172" spans="2:25" ht="15">
      <c r="B172" s="49" t="s">
        <v>213</v>
      </c>
      <c r="C172" s="14" t="s">
        <v>216</v>
      </c>
      <c r="D172" s="97" t="str">
        <f t="shared" si="16"/>
        <v>Same k as rxn BR07</v>
      </c>
      <c r="E172" s="97"/>
      <c r="F172" s="97"/>
      <c r="G172" s="97"/>
      <c r="H172" s="39" t="s">
        <v>203</v>
      </c>
      <c r="I172" s="49" t="s">
        <v>44</v>
      </c>
      <c r="K172" s="116"/>
      <c r="L172" s="120"/>
      <c r="M172" s="117"/>
      <c r="N172" s="116"/>
      <c r="O172" s="117"/>
      <c r="P172" s="118"/>
      <c r="Q172" s="117"/>
      <c r="S172" s="40"/>
      <c r="T172" s="116"/>
      <c r="U172" s="117"/>
      <c r="V172" s="116"/>
      <c r="W172" s="116"/>
      <c r="X172" s="117"/>
      <c r="Y172" s="117"/>
    </row>
    <row r="173" spans="2:25" ht="15">
      <c r="B173" s="49" t="s">
        <v>214</v>
      </c>
      <c r="C173" s="14" t="s">
        <v>218</v>
      </c>
      <c r="D173" s="97" t="str">
        <f t="shared" si="16"/>
        <v>Same k as rxn BR08</v>
      </c>
      <c r="E173" s="97"/>
      <c r="F173" s="97"/>
      <c r="G173" s="97"/>
      <c r="H173" s="39" t="s">
        <v>203</v>
      </c>
      <c r="I173" s="49" t="s">
        <v>46</v>
      </c>
      <c r="K173" s="116"/>
      <c r="L173" s="120"/>
      <c r="M173" s="117"/>
      <c r="N173" s="116"/>
      <c r="O173" s="117"/>
      <c r="P173" s="118"/>
      <c r="Q173" s="117"/>
      <c r="S173" s="40"/>
      <c r="T173" s="116"/>
      <c r="U173" s="117"/>
      <c r="V173" s="116"/>
      <c r="W173" s="116"/>
      <c r="X173" s="117"/>
      <c r="Y173" s="117"/>
    </row>
    <row r="174" spans="2:25" ht="15">
      <c r="B174" s="49" t="s">
        <v>215</v>
      </c>
      <c r="C174" s="14" t="s">
        <v>220</v>
      </c>
      <c r="D174" s="97" t="str">
        <f t="shared" si="16"/>
        <v>Same k as rxn BR09</v>
      </c>
      <c r="E174" s="97"/>
      <c r="F174" s="97"/>
      <c r="G174" s="97"/>
      <c r="H174" s="39" t="s">
        <v>203</v>
      </c>
      <c r="I174" s="49" t="s">
        <v>48</v>
      </c>
      <c r="K174" s="116"/>
      <c r="L174" s="120"/>
      <c r="M174" s="117"/>
      <c r="N174" s="116"/>
      <c r="O174" s="117"/>
      <c r="P174" s="118"/>
      <c r="Q174" s="117"/>
      <c r="S174" s="40"/>
      <c r="T174" s="116"/>
      <c r="U174" s="117"/>
      <c r="V174" s="116"/>
      <c r="W174" s="116"/>
      <c r="X174" s="117"/>
      <c r="Y174" s="117"/>
    </row>
    <row r="175" spans="2:25" ht="15">
      <c r="B175" s="49" t="s">
        <v>217</v>
      </c>
      <c r="C175" s="14" t="s">
        <v>1191</v>
      </c>
      <c r="D175" s="97" t="str">
        <f t="shared" si="16"/>
        <v>Same k as rxn BR10</v>
      </c>
      <c r="E175" s="97"/>
      <c r="F175" s="97"/>
      <c r="G175" s="97"/>
      <c r="H175" s="39" t="s">
        <v>203</v>
      </c>
      <c r="I175" s="49" t="s">
        <v>50</v>
      </c>
      <c r="K175" s="116"/>
      <c r="L175" s="120"/>
      <c r="M175" s="117"/>
      <c r="N175" s="116"/>
      <c r="O175" s="117"/>
      <c r="P175" s="118"/>
      <c r="Q175" s="117"/>
      <c r="S175" s="40"/>
      <c r="T175" s="116"/>
      <c r="U175" s="117"/>
      <c r="V175" s="116"/>
      <c r="W175" s="116"/>
      <c r="X175" s="117"/>
      <c r="Y175" s="117"/>
    </row>
    <row r="176" spans="2:25" ht="15">
      <c r="B176" s="49" t="s">
        <v>219</v>
      </c>
      <c r="C176" s="14" t="s">
        <v>1192</v>
      </c>
      <c r="D176" s="97" t="str">
        <f t="shared" si="16"/>
        <v>Same k as rxn BR11</v>
      </c>
      <c r="E176" s="97"/>
      <c r="F176" s="97"/>
      <c r="G176" s="97"/>
      <c r="H176" s="39" t="s">
        <v>203</v>
      </c>
      <c r="I176" s="49" t="s">
        <v>52</v>
      </c>
      <c r="K176" s="116"/>
      <c r="L176" s="120"/>
      <c r="M176" s="117"/>
      <c r="N176" s="116"/>
      <c r="O176" s="117"/>
      <c r="P176" s="118"/>
      <c r="Q176" s="117"/>
      <c r="S176" s="40"/>
      <c r="T176" s="116"/>
      <c r="U176" s="117"/>
      <c r="V176" s="116"/>
      <c r="W176" s="116"/>
      <c r="X176" s="117"/>
      <c r="Y176" s="117"/>
    </row>
    <row r="177" spans="2:25" ht="15">
      <c r="B177" s="49" t="s">
        <v>221</v>
      </c>
      <c r="C177" s="14" t="s">
        <v>1193</v>
      </c>
      <c r="D177" s="97" t="str">
        <f t="shared" si="16"/>
        <v>Same k as rxn BR11</v>
      </c>
      <c r="E177" s="97"/>
      <c r="F177" s="97"/>
      <c r="G177" s="97"/>
      <c r="H177" s="39" t="s">
        <v>203</v>
      </c>
      <c r="I177" s="49" t="s">
        <v>52</v>
      </c>
      <c r="K177" s="116"/>
      <c r="L177" s="120"/>
      <c r="M177" s="117"/>
      <c r="N177" s="116"/>
      <c r="O177" s="117"/>
      <c r="P177" s="118"/>
      <c r="Q177" s="117"/>
      <c r="S177" s="40"/>
      <c r="T177" s="116"/>
      <c r="U177" s="117"/>
      <c r="V177" s="116"/>
      <c r="W177" s="116"/>
      <c r="X177" s="117"/>
      <c r="Y177" s="117"/>
    </row>
    <row r="178" spans="2:25" ht="15">
      <c r="B178" s="49" t="s">
        <v>222</v>
      </c>
      <c r="C178" s="14" t="s">
        <v>456</v>
      </c>
      <c r="D178" s="97" t="str">
        <f t="shared" si="16"/>
        <v>Same k as rxn BR25</v>
      </c>
      <c r="E178" s="97"/>
      <c r="F178" s="97"/>
      <c r="G178" s="97"/>
      <c r="H178" s="39" t="s">
        <v>203</v>
      </c>
      <c r="I178" s="49" t="s">
        <v>81</v>
      </c>
      <c r="K178" s="116"/>
      <c r="L178" s="120"/>
      <c r="M178" s="117"/>
      <c r="N178" s="116"/>
      <c r="O178" s="117"/>
      <c r="P178" s="118"/>
      <c r="Q178" s="117"/>
      <c r="S178" s="40"/>
      <c r="T178" s="116"/>
      <c r="U178" s="117"/>
      <c r="V178" s="116"/>
      <c r="W178" s="116"/>
      <c r="X178" s="117"/>
      <c r="Y178" s="117"/>
    </row>
    <row r="179" spans="2:25" ht="15">
      <c r="B179" s="49" t="s">
        <v>223</v>
      </c>
      <c r="C179" s="14" t="s">
        <v>457</v>
      </c>
      <c r="D179" s="97" t="str">
        <f t="shared" si="16"/>
        <v>Same k as rxn BR25</v>
      </c>
      <c r="E179" s="97"/>
      <c r="F179" s="97"/>
      <c r="G179" s="97"/>
      <c r="H179" s="39" t="s">
        <v>203</v>
      </c>
      <c r="I179" s="49" t="s">
        <v>81</v>
      </c>
      <c r="K179" s="116"/>
      <c r="L179" s="120"/>
      <c r="M179" s="117"/>
      <c r="N179" s="116"/>
      <c r="O179" s="117"/>
      <c r="P179" s="118"/>
      <c r="Q179" s="117"/>
      <c r="S179" s="40"/>
      <c r="T179" s="116"/>
      <c r="U179" s="117"/>
      <c r="V179" s="116"/>
      <c r="W179" s="116"/>
      <c r="X179" s="117"/>
      <c r="Y179" s="117"/>
    </row>
    <row r="180" spans="2:25" ht="15">
      <c r="B180" s="49" t="s">
        <v>224</v>
      </c>
      <c r="C180" s="14" t="s">
        <v>458</v>
      </c>
      <c r="D180" s="97" t="str">
        <f t="shared" si="16"/>
        <v>Same k as rxn BR25</v>
      </c>
      <c r="E180" s="97"/>
      <c r="F180" s="97"/>
      <c r="G180" s="97"/>
      <c r="H180" s="39" t="s">
        <v>203</v>
      </c>
      <c r="I180" s="49" t="s">
        <v>81</v>
      </c>
      <c r="K180" s="116"/>
      <c r="L180" s="120"/>
      <c r="M180" s="117"/>
      <c r="N180" s="116"/>
      <c r="O180" s="117"/>
      <c r="P180" s="118"/>
      <c r="Q180" s="117"/>
      <c r="S180" s="40"/>
      <c r="T180" s="116"/>
      <c r="U180" s="117"/>
      <c r="V180" s="116"/>
      <c r="W180" s="116"/>
      <c r="X180" s="117"/>
      <c r="Y180" s="117"/>
    </row>
    <row r="181" spans="2:25" ht="15">
      <c r="B181" s="49" t="s">
        <v>225</v>
      </c>
      <c r="C181" s="14" t="s">
        <v>459</v>
      </c>
      <c r="D181" s="97" t="str">
        <f t="shared" si="16"/>
        <v>Same k as rxn BR25</v>
      </c>
      <c r="E181" s="97"/>
      <c r="F181" s="97"/>
      <c r="G181" s="97"/>
      <c r="H181" s="39" t="s">
        <v>203</v>
      </c>
      <c r="I181" s="49" t="s">
        <v>81</v>
      </c>
      <c r="K181" s="116"/>
      <c r="L181" s="120"/>
      <c r="M181" s="117"/>
      <c r="N181" s="116"/>
      <c r="O181" s="117"/>
      <c r="P181" s="118"/>
      <c r="Q181" s="117"/>
      <c r="S181" s="40"/>
      <c r="T181" s="116"/>
      <c r="U181" s="117"/>
      <c r="V181" s="116"/>
      <c r="W181" s="116"/>
      <c r="X181" s="117"/>
      <c r="Y181" s="117"/>
    </row>
    <row r="182" spans="2:25" ht="15">
      <c r="B182" s="49" t="s">
        <v>226</v>
      </c>
      <c r="C182" s="14" t="s">
        <v>229</v>
      </c>
      <c r="D182" s="97" t="str">
        <f t="shared" si="16"/>
        <v>Same k as rxn BR07</v>
      </c>
      <c r="E182" s="97"/>
      <c r="F182" s="97"/>
      <c r="G182" s="97"/>
      <c r="H182" s="39" t="s">
        <v>203</v>
      </c>
      <c r="I182" s="49" t="s">
        <v>44</v>
      </c>
      <c r="K182" s="116"/>
      <c r="L182" s="120"/>
      <c r="M182" s="117"/>
      <c r="N182" s="116"/>
      <c r="O182" s="117"/>
      <c r="P182" s="118"/>
      <c r="Q182" s="117"/>
      <c r="S182" s="40"/>
      <c r="T182" s="116"/>
      <c r="U182" s="117"/>
      <c r="V182" s="116"/>
      <c r="W182" s="116"/>
      <c r="X182" s="117"/>
      <c r="Y182" s="117"/>
    </row>
    <row r="183" spans="2:25" ht="15">
      <c r="B183" s="49" t="s">
        <v>227</v>
      </c>
      <c r="C183" s="14" t="s">
        <v>231</v>
      </c>
      <c r="D183" s="97" t="str">
        <f t="shared" si="16"/>
        <v>Same k as rxn BR08</v>
      </c>
      <c r="E183" s="97"/>
      <c r="F183" s="97"/>
      <c r="G183" s="97"/>
      <c r="H183" s="39" t="s">
        <v>203</v>
      </c>
      <c r="I183" s="49" t="s">
        <v>46</v>
      </c>
      <c r="K183" s="116"/>
      <c r="L183" s="120"/>
      <c r="M183" s="117"/>
      <c r="N183" s="116"/>
      <c r="O183" s="117"/>
      <c r="P183" s="118"/>
      <c r="Q183" s="117"/>
      <c r="S183" s="40"/>
      <c r="T183" s="116"/>
      <c r="U183" s="117"/>
      <c r="V183" s="116"/>
      <c r="W183" s="116"/>
      <c r="X183" s="117"/>
      <c r="Y183" s="117"/>
    </row>
    <row r="184" spans="2:25" ht="15">
      <c r="B184" s="49" t="s">
        <v>228</v>
      </c>
      <c r="C184" s="14" t="s">
        <v>233</v>
      </c>
      <c r="D184" s="97" t="str">
        <f t="shared" si="16"/>
        <v>Same k as rxn BR09</v>
      </c>
      <c r="E184" s="97"/>
      <c r="F184" s="97"/>
      <c r="G184" s="97"/>
      <c r="H184" s="39" t="s">
        <v>203</v>
      </c>
      <c r="I184" s="49" t="s">
        <v>48</v>
      </c>
      <c r="K184" s="116"/>
      <c r="L184" s="120"/>
      <c r="M184" s="117"/>
      <c r="N184" s="116"/>
      <c r="O184" s="117"/>
      <c r="P184" s="118"/>
      <c r="Q184" s="117"/>
      <c r="S184" s="40"/>
      <c r="T184" s="116"/>
      <c r="U184" s="117"/>
      <c r="V184" s="116"/>
      <c r="W184" s="116"/>
      <c r="X184" s="117"/>
      <c r="Y184" s="117"/>
    </row>
    <row r="185" spans="2:25" ht="15">
      <c r="B185" s="49" t="s">
        <v>230</v>
      </c>
      <c r="C185" s="14" t="s">
        <v>1194</v>
      </c>
      <c r="D185" s="97" t="str">
        <f t="shared" si="16"/>
        <v>Same k as rxn BR10</v>
      </c>
      <c r="E185" s="97"/>
      <c r="F185" s="97"/>
      <c r="G185" s="97"/>
      <c r="H185" s="39" t="s">
        <v>203</v>
      </c>
      <c r="I185" s="49" t="s">
        <v>50</v>
      </c>
      <c r="K185" s="116"/>
      <c r="L185" s="120"/>
      <c r="M185" s="117"/>
      <c r="N185" s="116"/>
      <c r="O185" s="117"/>
      <c r="P185" s="118"/>
      <c r="Q185" s="117"/>
      <c r="S185" s="40"/>
      <c r="T185" s="116"/>
      <c r="U185" s="117"/>
      <c r="V185" s="116"/>
      <c r="W185" s="116"/>
      <c r="X185" s="117"/>
      <c r="Y185" s="117"/>
    </row>
    <row r="186" spans="2:25" ht="15">
      <c r="B186" s="49" t="s">
        <v>232</v>
      </c>
      <c r="C186" s="14" t="s">
        <v>1195</v>
      </c>
      <c r="D186" s="97" t="str">
        <f t="shared" si="16"/>
        <v>Same k as rxn BR11</v>
      </c>
      <c r="E186" s="97"/>
      <c r="F186" s="97"/>
      <c r="G186" s="97"/>
      <c r="H186" s="39" t="s">
        <v>203</v>
      </c>
      <c r="I186" s="49" t="s">
        <v>52</v>
      </c>
      <c r="K186" s="116"/>
      <c r="L186" s="120"/>
      <c r="M186" s="117"/>
      <c r="N186" s="116"/>
      <c r="O186" s="117"/>
      <c r="P186" s="118"/>
      <c r="Q186" s="117"/>
      <c r="S186" s="40"/>
      <c r="T186" s="116"/>
      <c r="U186" s="117"/>
      <c r="V186" s="116"/>
      <c r="W186" s="116"/>
      <c r="X186" s="117"/>
      <c r="Y186" s="117"/>
    </row>
    <row r="187" spans="2:25" ht="15">
      <c r="B187" s="49" t="s">
        <v>234</v>
      </c>
      <c r="C187" s="14" t="s">
        <v>1196</v>
      </c>
      <c r="D187" s="97" t="str">
        <f t="shared" si="16"/>
        <v>Same k as rxn BR11</v>
      </c>
      <c r="E187" s="97"/>
      <c r="F187" s="97"/>
      <c r="G187" s="97"/>
      <c r="H187" s="39" t="s">
        <v>203</v>
      </c>
      <c r="I187" s="49" t="s">
        <v>52</v>
      </c>
      <c r="K187" s="116"/>
      <c r="L187" s="120"/>
      <c r="M187" s="117"/>
      <c r="N187" s="116"/>
      <c r="O187" s="117"/>
      <c r="P187" s="118"/>
      <c r="Q187" s="117"/>
      <c r="S187" s="40"/>
      <c r="T187" s="116"/>
      <c r="U187" s="117"/>
      <c r="V187" s="116"/>
      <c r="W187" s="116"/>
      <c r="X187" s="117"/>
      <c r="Y187" s="117"/>
    </row>
    <row r="188" spans="2:25" ht="15">
      <c r="B188" s="49" t="s">
        <v>235</v>
      </c>
      <c r="C188" s="14" t="s">
        <v>460</v>
      </c>
      <c r="D188" s="97" t="str">
        <f t="shared" si="16"/>
        <v>Same k as rxn BR25</v>
      </c>
      <c r="E188" s="97"/>
      <c r="F188" s="97"/>
      <c r="G188" s="97"/>
      <c r="H188" s="39" t="s">
        <v>203</v>
      </c>
      <c r="I188" s="49" t="s">
        <v>81</v>
      </c>
      <c r="K188" s="116"/>
      <c r="L188" s="120"/>
      <c r="M188" s="117"/>
      <c r="N188" s="116"/>
      <c r="O188" s="117"/>
      <c r="P188" s="118"/>
      <c r="Q188" s="117"/>
      <c r="S188" s="40"/>
      <c r="T188" s="116"/>
      <c r="U188" s="117"/>
      <c r="V188" s="116"/>
      <c r="W188" s="116"/>
      <c r="X188" s="117"/>
      <c r="Y188" s="117"/>
    </row>
    <row r="189" spans="2:25" ht="15">
      <c r="B189" s="49" t="s">
        <v>236</v>
      </c>
      <c r="C189" s="14" t="s">
        <v>461</v>
      </c>
      <c r="D189" s="97" t="str">
        <f t="shared" si="16"/>
        <v>Same k as rxn BR25</v>
      </c>
      <c r="E189" s="97"/>
      <c r="F189" s="97"/>
      <c r="G189" s="97"/>
      <c r="H189" s="39" t="s">
        <v>203</v>
      </c>
      <c r="I189" s="49" t="s">
        <v>81</v>
      </c>
      <c r="K189" s="116"/>
      <c r="L189" s="120"/>
      <c r="M189" s="117"/>
      <c r="N189" s="116"/>
      <c r="O189" s="117"/>
      <c r="P189" s="118"/>
      <c r="Q189" s="117"/>
      <c r="S189" s="40"/>
      <c r="T189" s="116"/>
      <c r="U189" s="117"/>
      <c r="V189" s="116"/>
      <c r="W189" s="116"/>
      <c r="X189" s="117"/>
      <c r="Y189" s="117"/>
    </row>
    <row r="190" spans="2:25" ht="15">
      <c r="B190" s="49" t="s">
        <v>237</v>
      </c>
      <c r="C190" s="14" t="s">
        <v>462</v>
      </c>
      <c r="D190" s="97" t="str">
        <f t="shared" si="16"/>
        <v>Same k as rxn BR25</v>
      </c>
      <c r="E190" s="97"/>
      <c r="F190" s="97"/>
      <c r="G190" s="97"/>
      <c r="H190" s="39" t="s">
        <v>203</v>
      </c>
      <c r="I190" s="49" t="s">
        <v>81</v>
      </c>
      <c r="K190" s="116"/>
      <c r="L190" s="120"/>
      <c r="M190" s="117"/>
      <c r="N190" s="116"/>
      <c r="O190" s="117"/>
      <c r="P190" s="118"/>
      <c r="Q190" s="117"/>
      <c r="S190" s="40"/>
      <c r="T190" s="116"/>
      <c r="U190" s="117"/>
      <c r="V190" s="116"/>
      <c r="W190" s="116"/>
      <c r="X190" s="117"/>
      <c r="Y190" s="117"/>
    </row>
    <row r="191" spans="2:25" ht="15">
      <c r="B191" s="49" t="s">
        <v>238</v>
      </c>
      <c r="C191" s="14" t="s">
        <v>463</v>
      </c>
      <c r="D191" s="97" t="str">
        <f t="shared" si="16"/>
        <v>Same k as rxn BR25</v>
      </c>
      <c r="E191" s="97"/>
      <c r="F191" s="97"/>
      <c r="G191" s="97"/>
      <c r="H191" s="39" t="s">
        <v>203</v>
      </c>
      <c r="I191" s="49" t="s">
        <v>81</v>
      </c>
      <c r="K191" s="116"/>
      <c r="L191" s="120"/>
      <c r="M191" s="117"/>
      <c r="N191" s="116"/>
      <c r="O191" s="117"/>
      <c r="P191" s="118"/>
      <c r="Q191" s="117"/>
      <c r="S191" s="40"/>
      <c r="T191" s="116"/>
      <c r="U191" s="117"/>
      <c r="V191" s="116"/>
      <c r="W191" s="116"/>
      <c r="X191" s="117"/>
      <c r="Y191" s="117"/>
    </row>
    <row r="192" spans="2:25" ht="15">
      <c r="B192" s="49" t="s">
        <v>239</v>
      </c>
      <c r="C192" s="14" t="s">
        <v>242</v>
      </c>
      <c r="D192" s="97" t="str">
        <f t="shared" si="16"/>
        <v>Same k as rxn BR07</v>
      </c>
      <c r="E192" s="97"/>
      <c r="F192" s="97"/>
      <c r="G192" s="97"/>
      <c r="H192" s="39" t="s">
        <v>203</v>
      </c>
      <c r="I192" s="49" t="s">
        <v>44</v>
      </c>
      <c r="K192" s="116"/>
      <c r="L192" s="120"/>
      <c r="M192" s="117"/>
      <c r="N192" s="116"/>
      <c r="O192" s="117"/>
      <c r="P192" s="118"/>
      <c r="Q192" s="117"/>
      <c r="S192" s="40"/>
      <c r="T192" s="116"/>
      <c r="U192" s="117"/>
      <c r="V192" s="116"/>
      <c r="W192" s="116"/>
      <c r="X192" s="117"/>
      <c r="Y192" s="117"/>
    </row>
    <row r="193" spans="2:25" ht="15">
      <c r="B193" s="49" t="s">
        <v>240</v>
      </c>
      <c r="C193" s="14" t="s">
        <v>244</v>
      </c>
      <c r="D193" s="97" t="str">
        <f t="shared" si="16"/>
        <v>Same k as rxn BR08</v>
      </c>
      <c r="E193" s="97"/>
      <c r="F193" s="97"/>
      <c r="G193" s="97"/>
      <c r="H193" s="39" t="s">
        <v>203</v>
      </c>
      <c r="I193" s="49" t="s">
        <v>46</v>
      </c>
      <c r="K193" s="116"/>
      <c r="L193" s="120"/>
      <c r="M193" s="117"/>
      <c r="N193" s="116"/>
      <c r="O193" s="117"/>
      <c r="P193" s="118"/>
      <c r="Q193" s="117"/>
      <c r="S193" s="40"/>
      <c r="T193" s="116"/>
      <c r="U193" s="117"/>
      <c r="V193" s="116"/>
      <c r="W193" s="116"/>
      <c r="X193" s="117"/>
      <c r="Y193" s="117"/>
    </row>
    <row r="194" spans="2:25" ht="15">
      <c r="B194" s="49" t="s">
        <v>241</v>
      </c>
      <c r="C194" s="14" t="s">
        <v>246</v>
      </c>
      <c r="D194" s="97" t="str">
        <f t="shared" si="16"/>
        <v>Same k as rxn BR09</v>
      </c>
      <c r="E194" s="97"/>
      <c r="F194" s="97"/>
      <c r="G194" s="97"/>
      <c r="H194" s="39" t="s">
        <v>203</v>
      </c>
      <c r="I194" s="49" t="s">
        <v>48</v>
      </c>
      <c r="K194" s="116"/>
      <c r="L194" s="120"/>
      <c r="M194" s="117"/>
      <c r="N194" s="116"/>
      <c r="O194" s="117"/>
      <c r="P194" s="118"/>
      <c r="Q194" s="117"/>
      <c r="S194" s="40"/>
      <c r="T194" s="116"/>
      <c r="U194" s="117"/>
      <c r="V194" s="116"/>
      <c r="W194" s="116"/>
      <c r="X194" s="117"/>
      <c r="Y194" s="117"/>
    </row>
    <row r="195" spans="2:25" ht="15">
      <c r="B195" s="49" t="s">
        <v>243</v>
      </c>
      <c r="C195" s="14" t="s">
        <v>1197</v>
      </c>
      <c r="D195" s="97" t="str">
        <f t="shared" si="16"/>
        <v>Same k as rxn BR10</v>
      </c>
      <c r="E195" s="97"/>
      <c r="F195" s="97"/>
      <c r="G195" s="97"/>
      <c r="H195" s="39" t="s">
        <v>203</v>
      </c>
      <c r="I195" s="49" t="s">
        <v>50</v>
      </c>
      <c r="K195" s="116"/>
      <c r="L195" s="120"/>
      <c r="M195" s="117"/>
      <c r="N195" s="116"/>
      <c r="O195" s="117"/>
      <c r="P195" s="118"/>
      <c r="Q195" s="117"/>
      <c r="S195" s="40"/>
      <c r="T195" s="116"/>
      <c r="U195" s="117"/>
      <c r="V195" s="116"/>
      <c r="W195" s="116"/>
      <c r="X195" s="117"/>
      <c r="Y195" s="117"/>
    </row>
    <row r="196" spans="2:25" ht="15">
      <c r="B196" s="49" t="s">
        <v>245</v>
      </c>
      <c r="C196" s="14" t="s">
        <v>1198</v>
      </c>
      <c r="D196" s="97" t="str">
        <f t="shared" si="16"/>
        <v>Same k as rxn BR11</v>
      </c>
      <c r="E196" s="97"/>
      <c r="F196" s="97"/>
      <c r="G196" s="97"/>
      <c r="H196" s="39" t="s">
        <v>203</v>
      </c>
      <c r="I196" s="49" t="s">
        <v>52</v>
      </c>
      <c r="K196" s="116"/>
      <c r="L196" s="120"/>
      <c r="M196" s="117"/>
      <c r="N196" s="116"/>
      <c r="O196" s="117"/>
      <c r="P196" s="118"/>
      <c r="Q196" s="117"/>
      <c r="S196" s="40"/>
      <c r="T196" s="116"/>
      <c r="U196" s="117"/>
      <c r="V196" s="116"/>
      <c r="W196" s="116"/>
      <c r="X196" s="117"/>
      <c r="Y196" s="117"/>
    </row>
    <row r="197" spans="2:25" ht="25.5">
      <c r="B197" s="49" t="s">
        <v>247</v>
      </c>
      <c r="C197" s="14" t="s">
        <v>1199</v>
      </c>
      <c r="D197" s="97" t="str">
        <f t="shared" si="16"/>
        <v>Same k as rxn BR11</v>
      </c>
      <c r="E197" s="97"/>
      <c r="F197" s="97"/>
      <c r="G197" s="97"/>
      <c r="H197" s="39" t="s">
        <v>203</v>
      </c>
      <c r="I197" s="49" t="s">
        <v>52</v>
      </c>
      <c r="K197" s="116"/>
      <c r="L197" s="120"/>
      <c r="M197" s="117"/>
      <c r="N197" s="116"/>
      <c r="O197" s="117"/>
      <c r="P197" s="118"/>
      <c r="Q197" s="117"/>
      <c r="S197" s="40"/>
      <c r="T197" s="116"/>
      <c r="U197" s="117"/>
      <c r="V197" s="116"/>
      <c r="W197" s="116"/>
      <c r="X197" s="117"/>
      <c r="Y197" s="117"/>
    </row>
    <row r="198" spans="2:25" ht="15">
      <c r="B198" s="49" t="s">
        <v>248</v>
      </c>
      <c r="C198" s="14" t="s">
        <v>464</v>
      </c>
      <c r="D198" s="97" t="str">
        <f t="shared" si="16"/>
        <v>Same k as rxn BR25</v>
      </c>
      <c r="E198" s="97"/>
      <c r="F198" s="97"/>
      <c r="G198" s="97"/>
      <c r="H198" s="39" t="s">
        <v>203</v>
      </c>
      <c r="I198" s="49" t="s">
        <v>81</v>
      </c>
      <c r="K198" s="116"/>
      <c r="L198" s="120"/>
      <c r="M198" s="117"/>
      <c r="N198" s="116"/>
      <c r="O198" s="117"/>
      <c r="P198" s="118"/>
      <c r="Q198" s="117"/>
      <c r="S198" s="40"/>
      <c r="T198" s="116"/>
      <c r="U198" s="117"/>
      <c r="V198" s="116"/>
      <c r="W198" s="116"/>
      <c r="X198" s="117"/>
      <c r="Y198" s="117"/>
    </row>
    <row r="199" spans="2:25" ht="15">
      <c r="B199" s="49" t="s">
        <v>249</v>
      </c>
      <c r="C199" s="14" t="s">
        <v>465</v>
      </c>
      <c r="D199" s="97" t="str">
        <f t="shared" si="16"/>
        <v>Same k as rxn BR25</v>
      </c>
      <c r="E199" s="97"/>
      <c r="F199" s="97"/>
      <c r="G199" s="97"/>
      <c r="H199" s="39" t="s">
        <v>203</v>
      </c>
      <c r="I199" s="49" t="s">
        <v>81</v>
      </c>
      <c r="K199" s="116"/>
      <c r="L199" s="120"/>
      <c r="M199" s="117"/>
      <c r="N199" s="116"/>
      <c r="O199" s="117"/>
      <c r="P199" s="118"/>
      <c r="Q199" s="117"/>
      <c r="S199" s="40"/>
      <c r="T199" s="116"/>
      <c r="U199" s="117"/>
      <c r="V199" s="116"/>
      <c r="W199" s="116"/>
      <c r="X199" s="117"/>
      <c r="Y199" s="117"/>
    </row>
    <row r="200" spans="2:25" ht="15">
      <c r="B200" s="49" t="s">
        <v>250</v>
      </c>
      <c r="C200" s="14" t="s">
        <v>466</v>
      </c>
      <c r="D200" s="97" t="str">
        <f t="shared" si="16"/>
        <v>Same k as rxn BR25</v>
      </c>
      <c r="E200" s="97"/>
      <c r="F200" s="97"/>
      <c r="G200" s="97"/>
      <c r="H200" s="39" t="s">
        <v>203</v>
      </c>
      <c r="I200" s="49" t="s">
        <v>81</v>
      </c>
      <c r="K200" s="116"/>
      <c r="L200" s="120"/>
      <c r="M200" s="117"/>
      <c r="N200" s="116"/>
      <c r="O200" s="117"/>
      <c r="P200" s="118"/>
      <c r="Q200" s="117"/>
      <c r="S200" s="40"/>
      <c r="T200" s="116"/>
      <c r="U200" s="117"/>
      <c r="V200" s="116"/>
      <c r="W200" s="116"/>
      <c r="X200" s="117"/>
      <c r="Y200" s="117"/>
    </row>
    <row r="201" spans="2:25" ht="15">
      <c r="B201" s="49" t="s">
        <v>251</v>
      </c>
      <c r="C201" s="14" t="s">
        <v>467</v>
      </c>
      <c r="D201" s="97" t="str">
        <f t="shared" si="16"/>
        <v>Same k as rxn BR25</v>
      </c>
      <c r="E201" s="97"/>
      <c r="F201" s="97"/>
      <c r="G201" s="97"/>
      <c r="H201" s="39" t="s">
        <v>203</v>
      </c>
      <c r="I201" s="49" t="s">
        <v>81</v>
      </c>
      <c r="K201" s="116"/>
      <c r="L201" s="120"/>
      <c r="M201" s="117"/>
      <c r="N201" s="116"/>
      <c r="O201" s="117"/>
      <c r="P201" s="118"/>
      <c r="Q201" s="117"/>
      <c r="S201" s="40"/>
      <c r="T201" s="116"/>
      <c r="U201" s="117"/>
      <c r="V201" s="116"/>
      <c r="W201" s="116"/>
      <c r="X201" s="117"/>
      <c r="Y201" s="117"/>
    </row>
    <row r="202" spans="2:25" ht="15">
      <c r="B202" s="49" t="s">
        <v>252</v>
      </c>
      <c r="C202" s="14" t="s">
        <v>255</v>
      </c>
      <c r="D202" s="97" t="str">
        <f t="shared" si="16"/>
        <v>Same k as rxn BR07</v>
      </c>
      <c r="E202" s="97"/>
      <c r="F202" s="97"/>
      <c r="G202" s="97"/>
      <c r="H202" s="39" t="s">
        <v>203</v>
      </c>
      <c r="I202" s="49" t="s">
        <v>44</v>
      </c>
      <c r="K202" s="116"/>
      <c r="L202" s="120"/>
      <c r="M202" s="117"/>
      <c r="N202" s="116"/>
      <c r="O202" s="117"/>
      <c r="P202" s="118"/>
      <c r="Q202" s="117"/>
      <c r="S202" s="40"/>
      <c r="T202" s="116"/>
      <c r="U202" s="117"/>
      <c r="V202" s="116"/>
      <c r="W202" s="116"/>
      <c r="X202" s="117"/>
      <c r="Y202" s="117"/>
    </row>
    <row r="203" spans="2:25" ht="15">
      <c r="B203" s="49" t="s">
        <v>253</v>
      </c>
      <c r="C203" s="14" t="s">
        <v>257</v>
      </c>
      <c r="D203" s="97" t="str">
        <f t="shared" si="16"/>
        <v>Same k as rxn BR08</v>
      </c>
      <c r="E203" s="97"/>
      <c r="F203" s="97"/>
      <c r="G203" s="97"/>
      <c r="H203" s="39" t="s">
        <v>203</v>
      </c>
      <c r="I203" s="49" t="s">
        <v>46</v>
      </c>
      <c r="K203" s="116"/>
      <c r="L203" s="120"/>
      <c r="M203" s="117"/>
      <c r="N203" s="116"/>
      <c r="O203" s="117"/>
      <c r="P203" s="118"/>
      <c r="Q203" s="117"/>
      <c r="S203" s="40"/>
      <c r="T203" s="116"/>
      <c r="U203" s="117"/>
      <c r="V203" s="116"/>
      <c r="W203" s="116"/>
      <c r="X203" s="117"/>
      <c r="Y203" s="117"/>
    </row>
    <row r="204" spans="2:25" ht="15">
      <c r="B204" s="49" t="s">
        <v>254</v>
      </c>
      <c r="C204" s="14" t="s">
        <v>259</v>
      </c>
      <c r="D204" s="97" t="str">
        <f t="shared" si="16"/>
        <v>Same k as rxn BR09</v>
      </c>
      <c r="E204" s="97"/>
      <c r="F204" s="97"/>
      <c r="G204" s="97"/>
      <c r="H204" s="39" t="s">
        <v>203</v>
      </c>
      <c r="I204" s="49" t="s">
        <v>48</v>
      </c>
      <c r="K204" s="116"/>
      <c r="L204" s="120"/>
      <c r="M204" s="117"/>
      <c r="N204" s="116"/>
      <c r="O204" s="117"/>
      <c r="P204" s="118"/>
      <c r="Q204" s="117"/>
      <c r="S204" s="40"/>
      <c r="T204" s="116"/>
      <c r="U204" s="117"/>
      <c r="V204" s="116"/>
      <c r="W204" s="116"/>
      <c r="X204" s="117"/>
      <c r="Y204" s="117"/>
    </row>
    <row r="205" spans="2:25" ht="25.5">
      <c r="B205" s="49" t="s">
        <v>256</v>
      </c>
      <c r="C205" s="14" t="s">
        <v>1200</v>
      </c>
      <c r="D205" s="97" t="str">
        <f t="shared" si="16"/>
        <v>Same k as rxn BR10</v>
      </c>
      <c r="E205" s="97"/>
      <c r="F205" s="97"/>
      <c r="G205" s="97"/>
      <c r="H205" s="39" t="s">
        <v>203</v>
      </c>
      <c r="I205" s="49" t="s">
        <v>50</v>
      </c>
      <c r="K205" s="116"/>
      <c r="L205" s="120"/>
      <c r="M205" s="117"/>
      <c r="N205" s="116"/>
      <c r="O205" s="117"/>
      <c r="P205" s="118"/>
      <c r="Q205" s="117"/>
      <c r="S205" s="40"/>
      <c r="T205" s="116"/>
      <c r="U205" s="117"/>
      <c r="V205" s="116"/>
      <c r="W205" s="116"/>
      <c r="X205" s="117"/>
      <c r="Y205" s="117"/>
    </row>
    <row r="206" spans="2:25" ht="25.5">
      <c r="B206" s="49" t="s">
        <v>258</v>
      </c>
      <c r="C206" s="14" t="s">
        <v>1201</v>
      </c>
      <c r="D206" s="97" t="str">
        <f t="shared" si="16"/>
        <v>Same k as rxn BR11</v>
      </c>
      <c r="E206" s="97"/>
      <c r="F206" s="97"/>
      <c r="G206" s="97"/>
      <c r="H206" s="39" t="s">
        <v>203</v>
      </c>
      <c r="I206" s="49" t="s">
        <v>52</v>
      </c>
      <c r="K206" s="116"/>
      <c r="L206" s="120"/>
      <c r="M206" s="117"/>
      <c r="N206" s="116"/>
      <c r="O206" s="117"/>
      <c r="P206" s="118"/>
      <c r="Q206" s="117"/>
      <c r="S206" s="40"/>
      <c r="T206" s="116"/>
      <c r="U206" s="117"/>
      <c r="V206" s="116"/>
      <c r="W206" s="116"/>
      <c r="X206" s="117"/>
      <c r="Y206" s="117"/>
    </row>
    <row r="207" spans="2:25" ht="25.5">
      <c r="B207" s="49" t="s">
        <v>260</v>
      </c>
      <c r="C207" s="14" t="s">
        <v>1202</v>
      </c>
      <c r="D207" s="97" t="str">
        <f t="shared" si="16"/>
        <v>Same k as rxn BR11</v>
      </c>
      <c r="E207" s="97"/>
      <c r="F207" s="97"/>
      <c r="G207" s="97"/>
      <c r="H207" s="39" t="s">
        <v>203</v>
      </c>
      <c r="I207" s="49" t="s">
        <v>52</v>
      </c>
      <c r="K207" s="116"/>
      <c r="L207" s="120"/>
      <c r="M207" s="117"/>
      <c r="N207" s="116"/>
      <c r="O207" s="117"/>
      <c r="P207" s="118"/>
      <c r="Q207" s="117"/>
      <c r="S207" s="40"/>
      <c r="T207" s="116"/>
      <c r="U207" s="117"/>
      <c r="V207" s="116"/>
      <c r="W207" s="116"/>
      <c r="X207" s="117"/>
      <c r="Y207" s="117"/>
    </row>
    <row r="208" spans="2:25" ht="15">
      <c r="B208" s="49" t="s">
        <v>261</v>
      </c>
      <c r="C208" s="14" t="s">
        <v>468</v>
      </c>
      <c r="D208" s="97" t="str">
        <f t="shared" si="16"/>
        <v>Same k as rxn BR25</v>
      </c>
      <c r="E208" s="97"/>
      <c r="F208" s="97"/>
      <c r="G208" s="97"/>
      <c r="H208" s="39" t="s">
        <v>203</v>
      </c>
      <c r="I208" s="49" t="s">
        <v>81</v>
      </c>
      <c r="K208" s="116"/>
      <c r="L208" s="120"/>
      <c r="M208" s="117"/>
      <c r="N208" s="116"/>
      <c r="O208" s="117"/>
      <c r="P208" s="118"/>
      <c r="Q208" s="117"/>
      <c r="S208" s="40"/>
      <c r="T208" s="116"/>
      <c r="U208" s="117"/>
      <c r="V208" s="116"/>
      <c r="W208" s="116"/>
      <c r="X208" s="117"/>
      <c r="Y208" s="117"/>
    </row>
    <row r="209" spans="2:25" ht="15">
      <c r="B209" s="49" t="s">
        <v>262</v>
      </c>
      <c r="C209" s="14" t="s">
        <v>469</v>
      </c>
      <c r="D209" s="97" t="str">
        <f t="shared" si="16"/>
        <v>Same k as rxn BR25</v>
      </c>
      <c r="E209" s="97"/>
      <c r="F209" s="97"/>
      <c r="G209" s="97"/>
      <c r="H209" s="39" t="s">
        <v>203</v>
      </c>
      <c r="I209" s="49" t="s">
        <v>81</v>
      </c>
      <c r="K209" s="116"/>
      <c r="L209" s="120"/>
      <c r="M209" s="117"/>
      <c r="N209" s="116"/>
      <c r="O209" s="117"/>
      <c r="P209" s="118"/>
      <c r="Q209" s="117"/>
      <c r="S209" s="40"/>
      <c r="T209" s="116"/>
      <c r="U209" s="117"/>
      <c r="V209" s="116"/>
      <c r="W209" s="116"/>
      <c r="X209" s="117"/>
      <c r="Y209" s="117"/>
    </row>
    <row r="210" spans="2:25" ht="15">
      <c r="B210" s="49" t="s">
        <v>263</v>
      </c>
      <c r="C210" s="14" t="s">
        <v>470</v>
      </c>
      <c r="D210" s="97" t="str">
        <f t="shared" si="16"/>
        <v>Same k as rxn BR25</v>
      </c>
      <c r="E210" s="97"/>
      <c r="F210" s="97"/>
      <c r="G210" s="97"/>
      <c r="H210" s="39" t="s">
        <v>203</v>
      </c>
      <c r="I210" s="49" t="s">
        <v>81</v>
      </c>
      <c r="K210" s="116"/>
      <c r="L210" s="120"/>
      <c r="M210" s="117"/>
      <c r="N210" s="116"/>
      <c r="O210" s="117"/>
      <c r="P210" s="118"/>
      <c r="Q210" s="117"/>
      <c r="S210" s="40"/>
      <c r="T210" s="116"/>
      <c r="U210" s="117"/>
      <c r="V210" s="116"/>
      <c r="W210" s="116"/>
      <c r="X210" s="117"/>
      <c r="Y210" s="117"/>
    </row>
    <row r="211" spans="2:25" ht="15">
      <c r="B211" s="49" t="s">
        <v>264</v>
      </c>
      <c r="C211" s="14" t="s">
        <v>471</v>
      </c>
      <c r="D211" s="97" t="str">
        <f t="shared" si="16"/>
        <v>Same k as rxn BR25</v>
      </c>
      <c r="E211" s="97"/>
      <c r="F211" s="97"/>
      <c r="G211" s="97"/>
      <c r="H211" s="39" t="s">
        <v>203</v>
      </c>
      <c r="I211" s="49" t="s">
        <v>81</v>
      </c>
      <c r="K211" s="116"/>
      <c r="L211" s="120"/>
      <c r="M211" s="117"/>
      <c r="N211" s="116"/>
      <c r="O211" s="117"/>
      <c r="P211" s="118"/>
      <c r="Q211" s="117"/>
      <c r="S211" s="40"/>
      <c r="T211" s="116"/>
      <c r="U211" s="117"/>
      <c r="V211" s="116"/>
      <c r="W211" s="116"/>
      <c r="X211" s="117"/>
      <c r="Y211" s="117"/>
    </row>
    <row r="212" spans="2:25" ht="15">
      <c r="B212" s="49" t="s">
        <v>265</v>
      </c>
      <c r="C212" s="14" t="s">
        <v>268</v>
      </c>
      <c r="D212" s="97" t="str">
        <f t="shared" si="16"/>
        <v>Same k as rxn BR07</v>
      </c>
      <c r="E212" s="97"/>
      <c r="F212" s="97"/>
      <c r="G212" s="97"/>
      <c r="H212" s="39" t="s">
        <v>203</v>
      </c>
      <c r="I212" s="49" t="s">
        <v>44</v>
      </c>
      <c r="K212" s="116"/>
      <c r="L212" s="120"/>
      <c r="M212" s="117"/>
      <c r="N212" s="116"/>
      <c r="O212" s="117"/>
      <c r="P212" s="118"/>
      <c r="Q212" s="117"/>
      <c r="S212" s="40"/>
      <c r="T212" s="116"/>
      <c r="U212" s="117"/>
      <c r="V212" s="116"/>
      <c r="W212" s="116"/>
      <c r="X212" s="117"/>
      <c r="Y212" s="117"/>
    </row>
    <row r="213" spans="2:25" ht="15">
      <c r="B213" s="49" t="s">
        <v>266</v>
      </c>
      <c r="C213" s="14" t="s">
        <v>270</v>
      </c>
      <c r="D213" s="97" t="str">
        <f t="shared" si="16"/>
        <v>Same k as rxn BR08</v>
      </c>
      <c r="E213" s="97"/>
      <c r="F213" s="97"/>
      <c r="G213" s="97"/>
      <c r="H213" s="39" t="s">
        <v>203</v>
      </c>
      <c r="I213" s="49" t="s">
        <v>46</v>
      </c>
      <c r="K213" s="116"/>
      <c r="L213" s="120"/>
      <c r="M213" s="117"/>
      <c r="N213" s="116"/>
      <c r="O213" s="117"/>
      <c r="P213" s="118"/>
      <c r="Q213" s="117"/>
      <c r="S213" s="40"/>
      <c r="T213" s="116"/>
      <c r="U213" s="117"/>
      <c r="V213" s="116"/>
      <c r="W213" s="116"/>
      <c r="X213" s="117"/>
      <c r="Y213" s="117"/>
    </row>
    <row r="214" spans="2:25" ht="15">
      <c r="B214" s="49" t="s">
        <v>267</v>
      </c>
      <c r="C214" s="14" t="s">
        <v>272</v>
      </c>
      <c r="D214" s="97" t="str">
        <f t="shared" si="16"/>
        <v>Same k as rxn BR09</v>
      </c>
      <c r="E214" s="97"/>
      <c r="F214" s="97"/>
      <c r="G214" s="97"/>
      <c r="H214" s="39" t="s">
        <v>203</v>
      </c>
      <c r="I214" s="49" t="s">
        <v>48</v>
      </c>
      <c r="K214" s="116"/>
      <c r="L214" s="120"/>
      <c r="M214" s="117"/>
      <c r="N214" s="116"/>
      <c r="O214" s="117"/>
      <c r="P214" s="118"/>
      <c r="Q214" s="117"/>
      <c r="S214" s="40"/>
      <c r="T214" s="116"/>
      <c r="U214" s="117"/>
      <c r="V214" s="116"/>
      <c r="W214" s="116"/>
      <c r="X214" s="117"/>
      <c r="Y214" s="117"/>
    </row>
    <row r="215" spans="2:25" ht="25.5">
      <c r="B215" s="49" t="s">
        <v>269</v>
      </c>
      <c r="C215" s="14" t="s">
        <v>1203</v>
      </c>
      <c r="D215" s="97" t="str">
        <f t="shared" si="16"/>
        <v>Same k as rxn BR10</v>
      </c>
      <c r="E215" s="97"/>
      <c r="F215" s="97"/>
      <c r="G215" s="97"/>
      <c r="H215" s="39" t="s">
        <v>203</v>
      </c>
      <c r="I215" s="49" t="s">
        <v>50</v>
      </c>
      <c r="K215" s="116"/>
      <c r="L215" s="120"/>
      <c r="M215" s="117"/>
      <c r="N215" s="116"/>
      <c r="O215" s="117"/>
      <c r="P215" s="118"/>
      <c r="Q215" s="117"/>
      <c r="S215" s="40"/>
      <c r="T215" s="116"/>
      <c r="U215" s="117"/>
      <c r="V215" s="116"/>
      <c r="W215" s="116"/>
      <c r="X215" s="117"/>
      <c r="Y215" s="117"/>
    </row>
    <row r="216" spans="2:25" ht="25.5">
      <c r="B216" s="49" t="s">
        <v>271</v>
      </c>
      <c r="C216" s="14" t="s">
        <v>1204</v>
      </c>
      <c r="D216" s="97" t="str">
        <f t="shared" si="16"/>
        <v>Same k as rxn BR11</v>
      </c>
      <c r="E216" s="97"/>
      <c r="F216" s="97"/>
      <c r="G216" s="97"/>
      <c r="H216" s="39" t="s">
        <v>203</v>
      </c>
      <c r="I216" s="49" t="s">
        <v>52</v>
      </c>
      <c r="K216" s="116"/>
      <c r="L216" s="120"/>
      <c r="M216" s="117"/>
      <c r="N216" s="116"/>
      <c r="O216" s="117"/>
      <c r="P216" s="118"/>
      <c r="Q216" s="117"/>
      <c r="S216" s="40"/>
      <c r="T216" s="116"/>
      <c r="U216" s="117"/>
      <c r="V216" s="116"/>
      <c r="W216" s="116"/>
      <c r="X216" s="117"/>
      <c r="Y216" s="117"/>
    </row>
    <row r="217" spans="2:25" ht="25.5">
      <c r="B217" s="49" t="s">
        <v>273</v>
      </c>
      <c r="C217" s="14" t="s">
        <v>1205</v>
      </c>
      <c r="D217" s="97" t="str">
        <f t="shared" si="16"/>
        <v>Same k as rxn BR11</v>
      </c>
      <c r="E217" s="97"/>
      <c r="F217" s="97"/>
      <c r="G217" s="97"/>
      <c r="H217" s="39" t="s">
        <v>203</v>
      </c>
      <c r="I217" s="49" t="s">
        <v>52</v>
      </c>
      <c r="K217" s="116"/>
      <c r="L217" s="120"/>
      <c r="M217" s="117"/>
      <c r="N217" s="116"/>
      <c r="O217" s="117"/>
      <c r="P217" s="118"/>
      <c r="Q217" s="117"/>
      <c r="S217" s="40"/>
      <c r="T217" s="116"/>
      <c r="U217" s="117"/>
      <c r="V217" s="116"/>
      <c r="W217" s="116"/>
      <c r="X217" s="117"/>
      <c r="Y217" s="117"/>
    </row>
    <row r="218" spans="2:25" ht="15">
      <c r="B218" s="49" t="s">
        <v>274</v>
      </c>
      <c r="C218" s="14" t="s">
        <v>472</v>
      </c>
      <c r="D218" s="97" t="str">
        <f t="shared" si="16"/>
        <v>Same k as rxn BR25</v>
      </c>
      <c r="E218" s="97"/>
      <c r="F218" s="97"/>
      <c r="G218" s="97"/>
      <c r="H218" s="39" t="s">
        <v>203</v>
      </c>
      <c r="I218" s="49" t="s">
        <v>81</v>
      </c>
      <c r="K218" s="116"/>
      <c r="L218" s="120"/>
      <c r="M218" s="117"/>
      <c r="N218" s="116"/>
      <c r="O218" s="117"/>
      <c r="P218" s="118"/>
      <c r="Q218" s="117"/>
      <c r="S218" s="40"/>
      <c r="T218" s="116"/>
      <c r="U218" s="117"/>
      <c r="V218" s="116"/>
      <c r="W218" s="116"/>
      <c r="X218" s="117"/>
      <c r="Y218" s="117"/>
    </row>
    <row r="219" spans="2:25" ht="15">
      <c r="B219" s="49" t="s">
        <v>275</v>
      </c>
      <c r="C219" s="14" t="s">
        <v>473</v>
      </c>
      <c r="D219" s="97" t="str">
        <f t="shared" si="16"/>
        <v>Same k as rxn BR25</v>
      </c>
      <c r="E219" s="97"/>
      <c r="F219" s="97"/>
      <c r="G219" s="97"/>
      <c r="H219" s="39" t="s">
        <v>203</v>
      </c>
      <c r="I219" s="49" t="s">
        <v>81</v>
      </c>
      <c r="K219" s="116"/>
      <c r="L219" s="120"/>
      <c r="M219" s="117"/>
      <c r="N219" s="116"/>
      <c r="O219" s="117"/>
      <c r="P219" s="118"/>
      <c r="Q219" s="117"/>
      <c r="S219" s="40"/>
      <c r="T219" s="116"/>
      <c r="U219" s="117"/>
      <c r="V219" s="116"/>
      <c r="W219" s="116"/>
      <c r="X219" s="117"/>
      <c r="Y219" s="117"/>
    </row>
    <row r="220" spans="2:25" ht="15">
      <c r="B220" s="49" t="s">
        <v>276</v>
      </c>
      <c r="C220" s="14" t="s">
        <v>474</v>
      </c>
      <c r="D220" s="97" t="str">
        <f t="shared" si="16"/>
        <v>Same k as rxn BR25</v>
      </c>
      <c r="E220" s="97"/>
      <c r="F220" s="97"/>
      <c r="G220" s="97"/>
      <c r="H220" s="39" t="s">
        <v>203</v>
      </c>
      <c r="I220" s="49" t="s">
        <v>81</v>
      </c>
      <c r="K220" s="116"/>
      <c r="L220" s="120"/>
      <c r="M220" s="117"/>
      <c r="N220" s="116"/>
      <c r="O220" s="117"/>
      <c r="P220" s="118"/>
      <c r="Q220" s="117"/>
      <c r="S220" s="40"/>
      <c r="T220" s="116"/>
      <c r="U220" s="117"/>
      <c r="V220" s="116"/>
      <c r="W220" s="116"/>
      <c r="X220" s="117"/>
      <c r="Y220" s="117"/>
    </row>
    <row r="221" spans="2:25" ht="15">
      <c r="B221" s="49" t="s">
        <v>277</v>
      </c>
      <c r="C221" s="14" t="s">
        <v>475</v>
      </c>
      <c r="D221" s="97" t="str">
        <f t="shared" si="16"/>
        <v>Same k as rxn BR25</v>
      </c>
      <c r="E221" s="97"/>
      <c r="F221" s="97"/>
      <c r="G221" s="97"/>
      <c r="H221" s="39" t="s">
        <v>203</v>
      </c>
      <c r="I221" s="49" t="s">
        <v>81</v>
      </c>
      <c r="K221" s="116"/>
      <c r="L221" s="120"/>
      <c r="M221" s="117"/>
      <c r="N221" s="116"/>
      <c r="O221" s="117"/>
      <c r="P221" s="118"/>
      <c r="Q221" s="117"/>
      <c r="S221" s="40"/>
      <c r="T221" s="116"/>
      <c r="U221" s="117"/>
      <c r="V221" s="116"/>
      <c r="W221" s="116"/>
      <c r="X221" s="117"/>
      <c r="Y221" s="117"/>
    </row>
    <row r="222" spans="2:25" ht="15">
      <c r="B222" s="49" t="s">
        <v>278</v>
      </c>
      <c r="C222" s="14" t="s">
        <v>281</v>
      </c>
      <c r="D222" s="97" t="str">
        <f t="shared" si="16"/>
        <v>Same k as rxn BR07</v>
      </c>
      <c r="E222" s="97"/>
      <c r="F222" s="97"/>
      <c r="G222" s="97"/>
      <c r="H222" s="39" t="s">
        <v>203</v>
      </c>
      <c r="I222" s="49" t="s">
        <v>44</v>
      </c>
      <c r="K222" s="116"/>
      <c r="L222" s="120"/>
      <c r="M222" s="117"/>
      <c r="N222" s="116"/>
      <c r="O222" s="117"/>
      <c r="P222" s="118"/>
      <c r="Q222" s="117"/>
      <c r="S222" s="40"/>
      <c r="T222" s="116"/>
      <c r="U222" s="117"/>
      <c r="V222" s="116"/>
      <c r="W222" s="116"/>
      <c r="X222" s="117"/>
      <c r="Y222" s="117"/>
    </row>
    <row r="223" spans="2:25" ht="15">
      <c r="B223" s="49" t="s">
        <v>279</v>
      </c>
      <c r="C223" s="14" t="s">
        <v>283</v>
      </c>
      <c r="D223" s="97" t="str">
        <f t="shared" si="16"/>
        <v>Same k as rxn BR08</v>
      </c>
      <c r="E223" s="97"/>
      <c r="F223" s="97"/>
      <c r="G223" s="97"/>
      <c r="H223" s="39" t="s">
        <v>203</v>
      </c>
      <c r="I223" s="49" t="s">
        <v>46</v>
      </c>
      <c r="K223" s="116"/>
      <c r="L223" s="120"/>
      <c r="M223" s="117"/>
      <c r="N223" s="116"/>
      <c r="O223" s="117"/>
      <c r="P223" s="118"/>
      <c r="Q223" s="117"/>
      <c r="S223" s="40"/>
      <c r="T223" s="116"/>
      <c r="U223" s="117"/>
      <c r="V223" s="116"/>
      <c r="W223" s="116"/>
      <c r="X223" s="117"/>
      <c r="Y223" s="117"/>
    </row>
    <row r="224" spans="2:25" ht="15">
      <c r="B224" s="49" t="s">
        <v>280</v>
      </c>
      <c r="C224" s="14" t="s">
        <v>285</v>
      </c>
      <c r="D224" s="97" t="str">
        <f t="shared" si="16"/>
        <v>Same k as rxn BR09</v>
      </c>
      <c r="E224" s="97"/>
      <c r="F224" s="97"/>
      <c r="G224" s="97"/>
      <c r="H224" s="39" t="s">
        <v>203</v>
      </c>
      <c r="I224" s="49" t="s">
        <v>48</v>
      </c>
      <c r="K224" s="116"/>
      <c r="L224" s="120"/>
      <c r="M224" s="117"/>
      <c r="N224" s="116"/>
      <c r="O224" s="117"/>
      <c r="P224" s="118"/>
      <c r="Q224" s="117"/>
      <c r="S224" s="40"/>
      <c r="T224" s="116"/>
      <c r="U224" s="117"/>
      <c r="V224" s="116"/>
      <c r="W224" s="116"/>
      <c r="X224" s="117"/>
      <c r="Y224" s="117"/>
    </row>
    <row r="225" spans="2:25" ht="25.5">
      <c r="B225" s="49" t="s">
        <v>282</v>
      </c>
      <c r="C225" s="14" t="s">
        <v>1206</v>
      </c>
      <c r="D225" s="97" t="str">
        <f t="shared" si="16"/>
        <v>Same k as rxn BR10</v>
      </c>
      <c r="E225" s="97"/>
      <c r="F225" s="97"/>
      <c r="G225" s="97"/>
      <c r="H225" s="39" t="s">
        <v>203</v>
      </c>
      <c r="I225" s="49" t="s">
        <v>50</v>
      </c>
      <c r="K225" s="116"/>
      <c r="L225" s="120"/>
      <c r="M225" s="117"/>
      <c r="N225" s="116"/>
      <c r="O225" s="117"/>
      <c r="P225" s="118"/>
      <c r="Q225" s="117"/>
      <c r="S225" s="40"/>
      <c r="T225" s="116"/>
      <c r="U225" s="117"/>
      <c r="V225" s="116"/>
      <c r="W225" s="116"/>
      <c r="X225" s="117"/>
      <c r="Y225" s="117"/>
    </row>
    <row r="226" spans="2:25" ht="25.5">
      <c r="B226" s="49" t="s">
        <v>284</v>
      </c>
      <c r="C226" s="14" t="s">
        <v>1207</v>
      </c>
      <c r="D226" s="97" t="str">
        <f t="shared" si="16"/>
        <v>Same k as rxn BR11</v>
      </c>
      <c r="E226" s="97"/>
      <c r="F226" s="97"/>
      <c r="G226" s="97"/>
      <c r="H226" s="39" t="s">
        <v>203</v>
      </c>
      <c r="I226" s="49" t="s">
        <v>52</v>
      </c>
      <c r="K226" s="116"/>
      <c r="L226" s="120"/>
      <c r="M226" s="117"/>
      <c r="N226" s="116"/>
      <c r="O226" s="117"/>
      <c r="P226" s="118"/>
      <c r="Q226" s="117"/>
      <c r="S226" s="40"/>
      <c r="T226" s="116"/>
      <c r="U226" s="117"/>
      <c r="V226" s="116"/>
      <c r="W226" s="116"/>
      <c r="X226" s="117"/>
      <c r="Y226" s="117"/>
    </row>
    <row r="227" spans="2:25" ht="25.5">
      <c r="B227" s="49" t="s">
        <v>286</v>
      </c>
      <c r="C227" s="14" t="s">
        <v>1208</v>
      </c>
      <c r="D227" s="97" t="str">
        <f aca="true" t="shared" si="17" ref="D227:D251">IF(H227="QS",CONCATENATE("Same k as rxn ",I227),H227)</f>
        <v>Same k as rxn BR11</v>
      </c>
      <c r="E227" s="97"/>
      <c r="F227" s="97"/>
      <c r="G227" s="97"/>
      <c r="H227" s="39" t="s">
        <v>203</v>
      </c>
      <c r="I227" s="49" t="s">
        <v>52</v>
      </c>
      <c r="K227" s="116"/>
      <c r="L227" s="120"/>
      <c r="M227" s="117"/>
      <c r="N227" s="116"/>
      <c r="O227" s="117"/>
      <c r="P227" s="118"/>
      <c r="Q227" s="117"/>
      <c r="S227" s="40"/>
      <c r="T227" s="116"/>
      <c r="U227" s="117"/>
      <c r="V227" s="116"/>
      <c r="W227" s="116"/>
      <c r="X227" s="117"/>
      <c r="Y227" s="117"/>
    </row>
    <row r="228" spans="2:25" ht="15">
      <c r="B228" s="49" t="s">
        <v>287</v>
      </c>
      <c r="C228" s="14" t="s">
        <v>476</v>
      </c>
      <c r="D228" s="97" t="str">
        <f t="shared" si="17"/>
        <v>Same k as rxn BR25</v>
      </c>
      <c r="E228" s="97"/>
      <c r="F228" s="97"/>
      <c r="G228" s="97"/>
      <c r="H228" s="39" t="s">
        <v>203</v>
      </c>
      <c r="I228" s="49" t="s">
        <v>81</v>
      </c>
      <c r="K228" s="116"/>
      <c r="L228" s="120"/>
      <c r="M228" s="117"/>
      <c r="N228" s="116"/>
      <c r="O228" s="117"/>
      <c r="P228" s="118"/>
      <c r="Q228" s="117"/>
      <c r="S228" s="40"/>
      <c r="T228" s="116"/>
      <c r="U228" s="117"/>
      <c r="V228" s="116"/>
      <c r="W228" s="116"/>
      <c r="X228" s="117"/>
      <c r="Y228" s="117"/>
    </row>
    <row r="229" spans="2:25" ht="15">
      <c r="B229" s="49" t="s">
        <v>288</v>
      </c>
      <c r="C229" s="14" t="s">
        <v>477</v>
      </c>
      <c r="D229" s="97" t="str">
        <f t="shared" si="17"/>
        <v>Same k as rxn BR25</v>
      </c>
      <c r="E229" s="97"/>
      <c r="F229" s="97"/>
      <c r="G229" s="97"/>
      <c r="H229" s="39" t="s">
        <v>203</v>
      </c>
      <c r="I229" s="49" t="s">
        <v>81</v>
      </c>
      <c r="K229" s="116"/>
      <c r="L229" s="120"/>
      <c r="M229" s="117"/>
      <c r="N229" s="116"/>
      <c r="O229" s="117"/>
      <c r="P229" s="118"/>
      <c r="Q229" s="117"/>
      <c r="S229" s="40"/>
      <c r="T229" s="116"/>
      <c r="U229" s="117"/>
      <c r="V229" s="116"/>
      <c r="W229" s="116"/>
      <c r="X229" s="117"/>
      <c r="Y229" s="117"/>
    </row>
    <row r="230" spans="2:25" ht="15">
      <c r="B230" s="49" t="s">
        <v>289</v>
      </c>
      <c r="C230" s="14" t="s">
        <v>478</v>
      </c>
      <c r="D230" s="97" t="str">
        <f t="shared" si="17"/>
        <v>Same k as rxn BR25</v>
      </c>
      <c r="E230" s="97"/>
      <c r="F230" s="97"/>
      <c r="G230" s="97"/>
      <c r="H230" s="39" t="s">
        <v>203</v>
      </c>
      <c r="I230" s="49" t="s">
        <v>81</v>
      </c>
      <c r="K230" s="116"/>
      <c r="L230" s="120"/>
      <c r="M230" s="117"/>
      <c r="N230" s="116"/>
      <c r="O230" s="117"/>
      <c r="P230" s="118"/>
      <c r="Q230" s="117"/>
      <c r="S230" s="40"/>
      <c r="T230" s="116"/>
      <c r="U230" s="117"/>
      <c r="V230" s="116"/>
      <c r="W230" s="116"/>
      <c r="X230" s="117"/>
      <c r="Y230" s="117"/>
    </row>
    <row r="231" spans="2:25" ht="15">
      <c r="B231" s="49" t="s">
        <v>290</v>
      </c>
      <c r="C231" s="14" t="s">
        <v>479</v>
      </c>
      <c r="D231" s="97" t="str">
        <f t="shared" si="17"/>
        <v>Same k as rxn BR25</v>
      </c>
      <c r="E231" s="97"/>
      <c r="F231" s="97"/>
      <c r="G231" s="97"/>
      <c r="H231" s="39" t="s">
        <v>203</v>
      </c>
      <c r="I231" s="49" t="s">
        <v>81</v>
      </c>
      <c r="K231" s="116"/>
      <c r="L231" s="120"/>
      <c r="M231" s="117"/>
      <c r="N231" s="116"/>
      <c r="O231" s="117"/>
      <c r="P231" s="118"/>
      <c r="Q231" s="117"/>
      <c r="S231" s="40"/>
      <c r="T231" s="116"/>
      <c r="U231" s="117"/>
      <c r="V231" s="116"/>
      <c r="W231" s="116"/>
      <c r="X231" s="117"/>
      <c r="Y231" s="117"/>
    </row>
    <row r="232" spans="2:25" ht="15">
      <c r="B232" s="49" t="s">
        <v>291</v>
      </c>
      <c r="C232" s="14" t="s">
        <v>294</v>
      </c>
      <c r="D232" s="97" t="str">
        <f t="shared" si="17"/>
        <v>Same k as rxn BR07</v>
      </c>
      <c r="E232" s="97"/>
      <c r="F232" s="97"/>
      <c r="G232" s="97"/>
      <c r="H232" s="39" t="s">
        <v>203</v>
      </c>
      <c r="I232" s="49" t="s">
        <v>44</v>
      </c>
      <c r="K232" s="116"/>
      <c r="L232" s="120"/>
      <c r="M232" s="117"/>
      <c r="N232" s="116"/>
      <c r="O232" s="117"/>
      <c r="P232" s="118"/>
      <c r="Q232" s="117"/>
      <c r="S232" s="40"/>
      <c r="T232" s="116"/>
      <c r="U232" s="117"/>
      <c r="V232" s="116"/>
      <c r="W232" s="116"/>
      <c r="X232" s="117"/>
      <c r="Y232" s="117"/>
    </row>
    <row r="233" spans="2:25" ht="15">
      <c r="B233" s="49" t="s">
        <v>292</v>
      </c>
      <c r="C233" s="14" t="s">
        <v>296</v>
      </c>
      <c r="D233" s="97" t="str">
        <f t="shared" si="17"/>
        <v>Same k as rxn BR08</v>
      </c>
      <c r="E233" s="97"/>
      <c r="F233" s="97"/>
      <c r="G233" s="97"/>
      <c r="H233" s="39" t="s">
        <v>203</v>
      </c>
      <c r="I233" s="49" t="s">
        <v>46</v>
      </c>
      <c r="K233" s="116"/>
      <c r="L233" s="120"/>
      <c r="M233" s="117"/>
      <c r="N233" s="116"/>
      <c r="O233" s="117"/>
      <c r="P233" s="118"/>
      <c r="Q233" s="117"/>
      <c r="S233" s="40"/>
      <c r="T233" s="116"/>
      <c r="U233" s="117"/>
      <c r="V233" s="116"/>
      <c r="W233" s="116"/>
      <c r="X233" s="117"/>
      <c r="Y233" s="117"/>
    </row>
    <row r="234" spans="2:25" ht="15">
      <c r="B234" s="49" t="s">
        <v>293</v>
      </c>
      <c r="C234" s="14" t="s">
        <v>298</v>
      </c>
      <c r="D234" s="97" t="str">
        <f t="shared" si="17"/>
        <v>Same k as rxn BR09</v>
      </c>
      <c r="E234" s="97"/>
      <c r="F234" s="97"/>
      <c r="G234" s="97"/>
      <c r="H234" s="39" t="s">
        <v>203</v>
      </c>
      <c r="I234" s="49" t="s">
        <v>48</v>
      </c>
      <c r="K234" s="116"/>
      <c r="L234" s="120"/>
      <c r="M234" s="117"/>
      <c r="N234" s="116"/>
      <c r="O234" s="117"/>
      <c r="P234" s="118"/>
      <c r="Q234" s="117"/>
      <c r="S234" s="40"/>
      <c r="T234" s="116"/>
      <c r="U234" s="117"/>
      <c r="V234" s="116"/>
      <c r="W234" s="116"/>
      <c r="X234" s="117"/>
      <c r="Y234" s="117"/>
    </row>
    <row r="235" spans="2:25" ht="25.5">
      <c r="B235" s="49" t="s">
        <v>295</v>
      </c>
      <c r="C235" s="14" t="s">
        <v>1209</v>
      </c>
      <c r="D235" s="97" t="str">
        <f t="shared" si="17"/>
        <v>Same k as rxn BR10</v>
      </c>
      <c r="E235" s="97"/>
      <c r="F235" s="97"/>
      <c r="G235" s="97"/>
      <c r="H235" s="39" t="s">
        <v>203</v>
      </c>
      <c r="I235" s="49" t="s">
        <v>50</v>
      </c>
      <c r="K235" s="116"/>
      <c r="L235" s="120"/>
      <c r="M235" s="117"/>
      <c r="N235" s="116"/>
      <c r="O235" s="117"/>
      <c r="P235" s="118"/>
      <c r="Q235" s="117"/>
      <c r="S235" s="40"/>
      <c r="T235" s="116"/>
      <c r="U235" s="117"/>
      <c r="V235" s="116"/>
      <c r="W235" s="116"/>
      <c r="X235" s="117"/>
      <c r="Y235" s="117"/>
    </row>
    <row r="236" spans="2:25" ht="15">
      <c r="B236" s="49" t="s">
        <v>297</v>
      </c>
      <c r="C236" s="14" t="s">
        <v>1210</v>
      </c>
      <c r="D236" s="97" t="str">
        <f t="shared" si="17"/>
        <v>Same k as rxn BR11</v>
      </c>
      <c r="E236" s="97"/>
      <c r="F236" s="97"/>
      <c r="G236" s="97"/>
      <c r="H236" s="39" t="s">
        <v>203</v>
      </c>
      <c r="I236" s="49" t="s">
        <v>52</v>
      </c>
      <c r="K236" s="116"/>
      <c r="L236" s="120"/>
      <c r="M236" s="117"/>
      <c r="N236" s="116"/>
      <c r="O236" s="117"/>
      <c r="P236" s="118"/>
      <c r="Q236" s="117"/>
      <c r="S236" s="40"/>
      <c r="T236" s="116"/>
      <c r="U236" s="117"/>
      <c r="V236" s="116"/>
      <c r="W236" s="116"/>
      <c r="X236" s="117"/>
      <c r="Y236" s="117"/>
    </row>
    <row r="237" spans="2:25" ht="25.5">
      <c r="B237" s="49" t="s">
        <v>299</v>
      </c>
      <c r="C237" s="14" t="s">
        <v>1211</v>
      </c>
      <c r="D237" s="97" t="str">
        <f t="shared" si="17"/>
        <v>Same k as rxn BR11</v>
      </c>
      <c r="E237" s="97"/>
      <c r="F237" s="97"/>
      <c r="G237" s="97"/>
      <c r="H237" s="39" t="s">
        <v>203</v>
      </c>
      <c r="I237" s="49" t="s">
        <v>52</v>
      </c>
      <c r="K237" s="116"/>
      <c r="L237" s="120"/>
      <c r="M237" s="117"/>
      <c r="N237" s="116"/>
      <c r="O237" s="117"/>
      <c r="P237" s="118"/>
      <c r="Q237" s="117"/>
      <c r="S237" s="40"/>
      <c r="T237" s="116"/>
      <c r="U237" s="117"/>
      <c r="V237" s="116"/>
      <c r="W237" s="116"/>
      <c r="X237" s="117"/>
      <c r="Y237" s="117"/>
    </row>
    <row r="238" spans="2:25" ht="15">
      <c r="B238" s="49" t="s">
        <v>300</v>
      </c>
      <c r="C238" s="14" t="s">
        <v>480</v>
      </c>
      <c r="D238" s="97" t="str">
        <f t="shared" si="17"/>
        <v>Same k as rxn BR25</v>
      </c>
      <c r="E238" s="97"/>
      <c r="F238" s="97"/>
      <c r="G238" s="97"/>
      <c r="H238" s="39" t="s">
        <v>203</v>
      </c>
      <c r="I238" s="49" t="s">
        <v>81</v>
      </c>
      <c r="K238" s="116"/>
      <c r="L238" s="120"/>
      <c r="M238" s="117"/>
      <c r="N238" s="116"/>
      <c r="O238" s="117"/>
      <c r="P238" s="118"/>
      <c r="Q238" s="117"/>
      <c r="S238" s="40"/>
      <c r="T238" s="116"/>
      <c r="U238" s="117"/>
      <c r="V238" s="116"/>
      <c r="W238" s="116"/>
      <c r="X238" s="117"/>
      <c r="Y238" s="117"/>
    </row>
    <row r="239" spans="2:25" ht="15">
      <c r="B239" s="49" t="s">
        <v>301</v>
      </c>
      <c r="C239" s="14" t="s">
        <v>481</v>
      </c>
      <c r="D239" s="97" t="str">
        <f t="shared" si="17"/>
        <v>Same k as rxn BR25</v>
      </c>
      <c r="E239" s="97"/>
      <c r="F239" s="97"/>
      <c r="G239" s="97"/>
      <c r="H239" s="39" t="s">
        <v>203</v>
      </c>
      <c r="I239" s="49" t="s">
        <v>81</v>
      </c>
      <c r="K239" s="116"/>
      <c r="L239" s="120"/>
      <c r="M239" s="117"/>
      <c r="N239" s="116"/>
      <c r="O239" s="117"/>
      <c r="P239" s="118"/>
      <c r="Q239" s="117"/>
      <c r="S239" s="40"/>
      <c r="T239" s="116"/>
      <c r="U239" s="117"/>
      <c r="V239" s="116"/>
      <c r="W239" s="116"/>
      <c r="X239" s="117"/>
      <c r="Y239" s="117"/>
    </row>
    <row r="240" spans="2:25" ht="15">
      <c r="B240" s="49" t="s">
        <v>302</v>
      </c>
      <c r="C240" s="14" t="s">
        <v>482</v>
      </c>
      <c r="D240" s="97" t="str">
        <f t="shared" si="17"/>
        <v>Same k as rxn BR25</v>
      </c>
      <c r="E240" s="97"/>
      <c r="F240" s="97"/>
      <c r="G240" s="97"/>
      <c r="H240" s="39" t="s">
        <v>203</v>
      </c>
      <c r="I240" s="49" t="s">
        <v>81</v>
      </c>
      <c r="K240" s="116"/>
      <c r="L240" s="120"/>
      <c r="M240" s="117"/>
      <c r="N240" s="116"/>
      <c r="O240" s="117"/>
      <c r="P240" s="118"/>
      <c r="Q240" s="117"/>
      <c r="S240" s="40"/>
      <c r="T240" s="116"/>
      <c r="U240" s="117"/>
      <c r="V240" s="116"/>
      <c r="W240" s="116"/>
      <c r="X240" s="117"/>
      <c r="Y240" s="117"/>
    </row>
    <row r="241" spans="2:25" ht="15">
      <c r="B241" s="49" t="s">
        <v>303</v>
      </c>
      <c r="C241" s="14" t="s">
        <v>483</v>
      </c>
      <c r="D241" s="97" t="str">
        <f t="shared" si="17"/>
        <v>Same k as rxn BR25</v>
      </c>
      <c r="E241" s="97"/>
      <c r="F241" s="97"/>
      <c r="G241" s="97"/>
      <c r="H241" s="39" t="s">
        <v>203</v>
      </c>
      <c r="I241" s="49" t="s">
        <v>81</v>
      </c>
      <c r="K241" s="116"/>
      <c r="L241" s="120"/>
      <c r="M241" s="117"/>
      <c r="N241" s="116"/>
      <c r="O241" s="117"/>
      <c r="P241" s="118"/>
      <c r="Q241" s="117"/>
      <c r="S241" s="40"/>
      <c r="T241" s="116"/>
      <c r="U241" s="117"/>
      <c r="V241" s="116"/>
      <c r="W241" s="116"/>
      <c r="X241" s="117"/>
      <c r="Y241" s="117"/>
    </row>
    <row r="242" spans="2:25" ht="15">
      <c r="B242" s="49" t="s">
        <v>304</v>
      </c>
      <c r="C242" s="14" t="s">
        <v>307</v>
      </c>
      <c r="D242" s="97" t="str">
        <f t="shared" si="17"/>
        <v>Same k as rxn BR07</v>
      </c>
      <c r="E242" s="97"/>
      <c r="F242" s="97"/>
      <c r="G242" s="97"/>
      <c r="H242" s="39" t="s">
        <v>203</v>
      </c>
      <c r="I242" s="49" t="s">
        <v>44</v>
      </c>
      <c r="K242" s="116"/>
      <c r="L242" s="120"/>
      <c r="M242" s="117"/>
      <c r="N242" s="116"/>
      <c r="O242" s="117"/>
      <c r="P242" s="118"/>
      <c r="Q242" s="117"/>
      <c r="S242" s="40"/>
      <c r="T242" s="116"/>
      <c r="U242" s="117"/>
      <c r="V242" s="116"/>
      <c r="W242" s="116"/>
      <c r="X242" s="117"/>
      <c r="Y242" s="117"/>
    </row>
    <row r="243" spans="2:25" ht="15">
      <c r="B243" s="49" t="s">
        <v>305</v>
      </c>
      <c r="C243" s="14" t="s">
        <v>309</v>
      </c>
      <c r="D243" s="97" t="str">
        <f t="shared" si="17"/>
        <v>Same k as rxn BR08</v>
      </c>
      <c r="E243" s="97"/>
      <c r="F243" s="97"/>
      <c r="G243" s="97"/>
      <c r="H243" s="39" t="s">
        <v>203</v>
      </c>
      <c r="I243" s="49" t="s">
        <v>46</v>
      </c>
      <c r="K243" s="116"/>
      <c r="L243" s="120"/>
      <c r="M243" s="117"/>
      <c r="N243" s="116"/>
      <c r="O243" s="117"/>
      <c r="P243" s="118"/>
      <c r="Q243" s="117"/>
      <c r="S243" s="40"/>
      <c r="T243" s="116"/>
      <c r="U243" s="117"/>
      <c r="V243" s="116"/>
      <c r="W243" s="116"/>
      <c r="X243" s="117"/>
      <c r="Y243" s="117"/>
    </row>
    <row r="244" spans="2:25" ht="15">
      <c r="B244" s="49" t="s">
        <v>306</v>
      </c>
      <c r="C244" s="14" t="s">
        <v>311</v>
      </c>
      <c r="D244" s="97" t="str">
        <f t="shared" si="17"/>
        <v>Same k as rxn BR09</v>
      </c>
      <c r="E244" s="97"/>
      <c r="F244" s="97"/>
      <c r="G244" s="97"/>
      <c r="H244" s="39" t="s">
        <v>203</v>
      </c>
      <c r="I244" s="49" t="s">
        <v>48</v>
      </c>
      <c r="K244" s="116"/>
      <c r="L244" s="120"/>
      <c r="M244" s="117"/>
      <c r="N244" s="116"/>
      <c r="O244" s="117"/>
      <c r="P244" s="118"/>
      <c r="Q244" s="117"/>
      <c r="S244" s="40"/>
      <c r="T244" s="116"/>
      <c r="U244" s="117"/>
      <c r="V244" s="116"/>
      <c r="W244" s="116"/>
      <c r="X244" s="117"/>
      <c r="Y244" s="117"/>
    </row>
    <row r="245" spans="2:25" ht="15">
      <c r="B245" s="49" t="s">
        <v>308</v>
      </c>
      <c r="C245" s="14" t="s">
        <v>1212</v>
      </c>
      <c r="D245" s="97" t="str">
        <f t="shared" si="17"/>
        <v>Same k as rxn BR10</v>
      </c>
      <c r="E245" s="97"/>
      <c r="F245" s="97"/>
      <c r="G245" s="97"/>
      <c r="H245" s="39" t="s">
        <v>203</v>
      </c>
      <c r="I245" s="49" t="s">
        <v>50</v>
      </c>
      <c r="K245" s="116"/>
      <c r="L245" s="120"/>
      <c r="M245" s="117"/>
      <c r="N245" s="116"/>
      <c r="O245" s="117"/>
      <c r="P245" s="118"/>
      <c r="Q245" s="117"/>
      <c r="S245" s="40"/>
      <c r="T245" s="116"/>
      <c r="U245" s="117"/>
      <c r="V245" s="116"/>
      <c r="W245" s="116"/>
      <c r="X245" s="117"/>
      <c r="Y245" s="117"/>
    </row>
    <row r="246" spans="2:25" ht="15">
      <c r="B246" s="49" t="s">
        <v>310</v>
      </c>
      <c r="C246" s="14" t="s">
        <v>1213</v>
      </c>
      <c r="D246" s="97" t="str">
        <f t="shared" si="17"/>
        <v>Same k as rxn BR11</v>
      </c>
      <c r="E246" s="97"/>
      <c r="F246" s="97"/>
      <c r="G246" s="97"/>
      <c r="H246" s="39" t="s">
        <v>203</v>
      </c>
      <c r="I246" s="49" t="s">
        <v>52</v>
      </c>
      <c r="K246" s="116"/>
      <c r="L246" s="120"/>
      <c r="M246" s="117"/>
      <c r="N246" s="116"/>
      <c r="O246" s="117"/>
      <c r="P246" s="118"/>
      <c r="Q246" s="117"/>
      <c r="S246" s="40"/>
      <c r="T246" s="116"/>
      <c r="U246" s="117"/>
      <c r="V246" s="116"/>
      <c r="W246" s="116"/>
      <c r="X246" s="117"/>
      <c r="Y246" s="117"/>
    </row>
    <row r="247" spans="2:25" ht="15">
      <c r="B247" s="49" t="s">
        <v>312</v>
      </c>
      <c r="C247" s="14" t="s">
        <v>1214</v>
      </c>
      <c r="D247" s="97" t="str">
        <f t="shared" si="17"/>
        <v>Same k as rxn BR11</v>
      </c>
      <c r="E247" s="97"/>
      <c r="F247" s="97"/>
      <c r="G247" s="97"/>
      <c r="H247" s="39" t="s">
        <v>203</v>
      </c>
      <c r="I247" s="49" t="s">
        <v>52</v>
      </c>
      <c r="K247" s="116"/>
      <c r="L247" s="120"/>
      <c r="M247" s="117"/>
      <c r="N247" s="116"/>
      <c r="O247" s="117"/>
      <c r="P247" s="118"/>
      <c r="Q247" s="117"/>
      <c r="S247" s="40"/>
      <c r="T247" s="116"/>
      <c r="U247" s="117"/>
      <c r="V247" s="116"/>
      <c r="W247" s="116"/>
      <c r="X247" s="117"/>
      <c r="Y247" s="117"/>
    </row>
    <row r="248" spans="2:25" ht="15">
      <c r="B248" s="49" t="s">
        <v>313</v>
      </c>
      <c r="C248" s="14" t="s">
        <v>484</v>
      </c>
      <c r="D248" s="97" t="str">
        <f t="shared" si="17"/>
        <v>Same k as rxn BR25</v>
      </c>
      <c r="E248" s="97"/>
      <c r="F248" s="97"/>
      <c r="G248" s="97"/>
      <c r="H248" s="39" t="s">
        <v>203</v>
      </c>
      <c r="I248" s="49" t="s">
        <v>81</v>
      </c>
      <c r="K248" s="116"/>
      <c r="L248" s="120"/>
      <c r="M248" s="117"/>
      <c r="N248" s="116"/>
      <c r="O248" s="117"/>
      <c r="P248" s="118"/>
      <c r="Q248" s="117"/>
      <c r="S248" s="40"/>
      <c r="T248" s="116"/>
      <c r="U248" s="117"/>
      <c r="V248" s="116"/>
      <c r="W248" s="116"/>
      <c r="X248" s="117"/>
      <c r="Y248" s="117"/>
    </row>
    <row r="249" spans="2:25" ht="15">
      <c r="B249" s="49" t="s">
        <v>314</v>
      </c>
      <c r="C249" s="14" t="s">
        <v>485</v>
      </c>
      <c r="D249" s="97" t="str">
        <f t="shared" si="17"/>
        <v>Same k as rxn BR25</v>
      </c>
      <c r="E249" s="97"/>
      <c r="F249" s="97"/>
      <c r="G249" s="97"/>
      <c r="H249" s="39" t="s">
        <v>203</v>
      </c>
      <c r="I249" s="49" t="s">
        <v>81</v>
      </c>
      <c r="K249" s="116"/>
      <c r="L249" s="120"/>
      <c r="M249" s="117"/>
      <c r="N249" s="116"/>
      <c r="O249" s="117"/>
      <c r="P249" s="118"/>
      <c r="Q249" s="117"/>
      <c r="S249" s="40"/>
      <c r="T249" s="116"/>
      <c r="U249" s="117"/>
      <c r="V249" s="116"/>
      <c r="W249" s="116"/>
      <c r="X249" s="117"/>
      <c r="Y249" s="117"/>
    </row>
    <row r="250" spans="2:25" ht="15">
      <c r="B250" s="49" t="s">
        <v>315</v>
      </c>
      <c r="C250" s="14" t="s">
        <v>486</v>
      </c>
      <c r="D250" s="97" t="str">
        <f t="shared" si="17"/>
        <v>Same k as rxn BR25</v>
      </c>
      <c r="E250" s="97"/>
      <c r="F250" s="97"/>
      <c r="G250" s="97"/>
      <c r="H250" s="39" t="s">
        <v>203</v>
      </c>
      <c r="I250" s="49" t="s">
        <v>81</v>
      </c>
      <c r="K250" s="116"/>
      <c r="L250" s="120"/>
      <c r="M250" s="117"/>
      <c r="N250" s="116"/>
      <c r="O250" s="117"/>
      <c r="P250" s="118"/>
      <c r="Q250" s="117"/>
      <c r="S250" s="40"/>
      <c r="T250" s="116"/>
      <c r="U250" s="117"/>
      <c r="V250" s="116"/>
      <c r="W250" s="116"/>
      <c r="X250" s="117"/>
      <c r="Y250" s="117"/>
    </row>
    <row r="251" spans="2:25" ht="15">
      <c r="B251" s="49" t="s">
        <v>316</v>
      </c>
      <c r="C251" s="14" t="s">
        <v>487</v>
      </c>
      <c r="D251" s="97" t="str">
        <f t="shared" si="17"/>
        <v>Same k as rxn BR25</v>
      </c>
      <c r="E251" s="97"/>
      <c r="F251" s="97"/>
      <c r="G251" s="97"/>
      <c r="H251" s="39" t="s">
        <v>203</v>
      </c>
      <c r="I251" s="49" t="s">
        <v>81</v>
      </c>
      <c r="K251" s="116"/>
      <c r="L251" s="120"/>
      <c r="M251" s="117"/>
      <c r="N251" s="116"/>
      <c r="O251" s="117"/>
      <c r="P251" s="118"/>
      <c r="Q251" s="117"/>
      <c r="S251" s="40"/>
      <c r="T251" s="116"/>
      <c r="U251" s="117"/>
      <c r="V251" s="116"/>
      <c r="W251" s="116"/>
      <c r="X251" s="117"/>
      <c r="Y251" s="117"/>
    </row>
    <row r="252" spans="1:25" ht="15">
      <c r="A252" s="13" t="s">
        <v>317</v>
      </c>
      <c r="D252" s="95"/>
      <c r="E252" s="95"/>
      <c r="F252" s="96"/>
      <c r="G252" s="96"/>
      <c r="J252" s="38"/>
      <c r="K252" s="109"/>
      <c r="L252" s="110"/>
      <c r="M252" s="111"/>
      <c r="N252" s="112"/>
      <c r="O252" s="111"/>
      <c r="P252" s="113"/>
      <c r="Q252" s="111"/>
      <c r="S252" s="40">
        <f aca="true" t="shared" si="18" ref="S252:S265">IF(OR(H252="T",H252="C"),T252,IF(H252="F",(V252/(1+(V252/T252)))*Q252^(1/(1+((LOG10(V252/T252)/R252)^2))),IF(H252="S1",T252+V252,IF(H252="S2",T252+(V252/(1+(V252/T253))),""))))</f>
      </c>
      <c r="T252" s="109"/>
      <c r="U252" s="111"/>
      <c r="V252" s="112"/>
      <c r="W252" s="112"/>
      <c r="X252" s="111"/>
      <c r="Y252" s="111"/>
    </row>
    <row r="253" spans="2:25" ht="15">
      <c r="B253" s="49" t="s">
        <v>318</v>
      </c>
      <c r="C253" s="14" t="s">
        <v>319</v>
      </c>
      <c r="D253" s="97" t="str">
        <f>IF(H253="P",CONCATENATE("Phot Set= ",I253,IF(J253=0,"",CONCATENATE(", qy= ",TEXT(J253,"0.0e+0")))),H253)</f>
        <v>Phot Set= HCHOR-06</v>
      </c>
      <c r="E253" s="98"/>
      <c r="F253" s="98"/>
      <c r="G253" s="99"/>
      <c r="H253" s="39" t="s">
        <v>1856</v>
      </c>
      <c r="I253" s="49" t="s">
        <v>320</v>
      </c>
      <c r="K253" s="116" t="s">
        <v>1861</v>
      </c>
      <c r="L253" s="120"/>
      <c r="M253" s="117"/>
      <c r="N253" s="116"/>
      <c r="O253" s="117"/>
      <c r="P253" s="118"/>
      <c r="Q253" s="117"/>
      <c r="S253" s="40">
        <f t="shared" si="18"/>
      </c>
      <c r="T253" s="116"/>
      <c r="U253" s="117"/>
      <c r="V253" s="116"/>
      <c r="W253" s="116"/>
      <c r="X253" s="117"/>
      <c r="Y253" s="117"/>
    </row>
    <row r="254" spans="2:25" ht="15">
      <c r="B254" s="49" t="s">
        <v>321</v>
      </c>
      <c r="C254" s="14" t="s">
        <v>322</v>
      </c>
      <c r="D254" s="97" t="str">
        <f>IF(H254="P",CONCATENATE("Phot Set= ",I254,IF(J254=0,"",CONCATENATE(", qy= ",TEXT(J254,"0.0e+0")))),H254)</f>
        <v>Phot Set= HCHOM-06</v>
      </c>
      <c r="E254" s="98"/>
      <c r="F254" s="98"/>
      <c r="G254" s="99"/>
      <c r="H254" s="39" t="s">
        <v>1856</v>
      </c>
      <c r="I254" s="49" t="s">
        <v>323</v>
      </c>
      <c r="K254" s="116" t="s">
        <v>1861</v>
      </c>
      <c r="L254" s="120"/>
      <c r="M254" s="117"/>
      <c r="N254" s="116"/>
      <c r="O254" s="117"/>
      <c r="P254" s="118"/>
      <c r="Q254" s="117"/>
      <c r="S254" s="40">
        <f t="shared" si="18"/>
      </c>
      <c r="T254" s="116"/>
      <c r="U254" s="117"/>
      <c r="V254" s="116"/>
      <c r="W254" s="116"/>
      <c r="X254" s="117"/>
      <c r="Y254" s="117"/>
    </row>
    <row r="255" spans="2:25" ht="15">
      <c r="B255" s="49" t="s">
        <v>324</v>
      </c>
      <c r="C255" s="14" t="s">
        <v>325</v>
      </c>
      <c r="D255" s="100">
        <f>IF(OR(H255="T",H255="C"),S255,H255)</f>
        <v>8.468885801646911E-12</v>
      </c>
      <c r="E255" s="100">
        <f>IF(H255="C","",K255)</f>
        <v>5.4E-12</v>
      </c>
      <c r="F255" s="101">
        <f>IF(H255="C","",U255)</f>
        <v>-0.268272</v>
      </c>
      <c r="G255" s="101">
        <f>IF(M255=0,"",M255)</f>
      </c>
      <c r="H255" s="39" t="s">
        <v>1859</v>
      </c>
      <c r="K255" s="116">
        <v>5.4E-12</v>
      </c>
      <c r="L255" s="120">
        <v>-135</v>
      </c>
      <c r="M255" s="117">
        <v>0</v>
      </c>
      <c r="N255" s="116"/>
      <c r="O255" s="117"/>
      <c r="P255" s="118"/>
      <c r="Q255" s="117"/>
      <c r="S255" s="40">
        <f>IF(OR(H255="T",H255="C"),T255,IF(H255="F",(V255/(1+(V255/T255)))*Q255^(1/(1+((LOG10(V255/T255)/R255)^2))),IF(H255="S1",T255+V255,IF(H255="S2",T255+(V255/(1+(V255/#REF!))),""))))</f>
        <v>8.468885801646911E-12</v>
      </c>
      <c r="T255" s="40">
        <f>K255*EXP(-L255/T$4)*((T$4/300)^M255)</f>
        <v>8.468885801646911E-12</v>
      </c>
      <c r="U255" s="15">
        <f>L255*Rfac</f>
        <v>-0.268272</v>
      </c>
      <c r="V255" s="116"/>
      <c r="W255" s="116"/>
      <c r="X255" s="117"/>
      <c r="Y255" s="117"/>
    </row>
    <row r="256" spans="2:25" ht="15">
      <c r="B256" s="49" t="s">
        <v>326</v>
      </c>
      <c r="C256" s="14" t="s">
        <v>327</v>
      </c>
      <c r="D256" s="100">
        <f>IF(OR(H256="T",H256="C"),S256,H256)</f>
        <v>6.059550974290978E-16</v>
      </c>
      <c r="E256" s="100">
        <f>IF(H256="C","",K256)</f>
        <v>2E-12</v>
      </c>
      <c r="F256" s="101">
        <f>IF(H256="C","",U256)</f>
        <v>4.83</v>
      </c>
      <c r="G256" s="101">
        <f>IF(M256=0,"",M256)</f>
      </c>
      <c r="H256" s="39" t="s">
        <v>1859</v>
      </c>
      <c r="K256" s="116">
        <v>2E-12</v>
      </c>
      <c r="L256" s="41">
        <v>2430.555555555555</v>
      </c>
      <c r="M256" s="117">
        <v>0</v>
      </c>
      <c r="N256" s="116"/>
      <c r="O256" s="117"/>
      <c r="P256" s="118"/>
      <c r="Q256" s="117"/>
      <c r="S256" s="40">
        <f>IF(OR(H256="T",H256="C"),T256,IF(H256="F",(V256/(1+(V256/T256)))*Q256^(1/(1+((LOG10(V256/T256)/R256)^2))),IF(H256="S1",T256+V256,IF(H256="S2",T256+(V256/(1+(V256/#REF!))),""))))</f>
        <v>6.059550974290978E-16</v>
      </c>
      <c r="T256" s="40">
        <f>K256*EXP(-L256/T$4)*((T$4/300)^M256)</f>
        <v>6.059550974290978E-16</v>
      </c>
      <c r="U256" s="15">
        <f>L256*Rfac</f>
        <v>4.83</v>
      </c>
      <c r="V256" s="116"/>
      <c r="W256" s="116"/>
      <c r="X256" s="117"/>
      <c r="Y256" s="117"/>
    </row>
    <row r="257" spans="2:25" ht="15">
      <c r="B257" s="49" t="s">
        <v>328</v>
      </c>
      <c r="C257" s="14" t="s">
        <v>329</v>
      </c>
      <c r="D257" s="100">
        <f>IF(OR(H257="T",H257="C"),S257,H257)</f>
        <v>1.4854029980508722E-11</v>
      </c>
      <c r="E257" s="100">
        <f>IF(H257="C","",K257)</f>
        <v>4.4E-12</v>
      </c>
      <c r="F257" s="101">
        <f>IF(H257="C","",U257)</f>
        <v>-0.7253280000000001</v>
      </c>
      <c r="G257" s="101">
        <f>IF(M257=0,"",M257)</f>
      </c>
      <c r="H257" s="39" t="s">
        <v>1859</v>
      </c>
      <c r="K257" s="116">
        <v>4.4E-12</v>
      </c>
      <c r="L257" s="120">
        <v>-365</v>
      </c>
      <c r="M257" s="117">
        <v>0</v>
      </c>
      <c r="N257" s="116"/>
      <c r="O257" s="117"/>
      <c r="P257" s="118"/>
      <c r="Q257" s="117"/>
      <c r="S257" s="40">
        <f t="shared" si="18"/>
        <v>1.4854029980508722E-11</v>
      </c>
      <c r="T257" s="40">
        <f>K257*EXP(-L257/T$4)*((T$4/300)^M257)</f>
        <v>1.4854029980508722E-11</v>
      </c>
      <c r="U257" s="15">
        <f>L257*Rfac</f>
        <v>-0.7253280000000001</v>
      </c>
      <c r="V257" s="116"/>
      <c r="W257" s="116"/>
      <c r="X257" s="117"/>
      <c r="Y257" s="117"/>
    </row>
    <row r="258" spans="2:25" ht="15">
      <c r="B258" s="49" t="s">
        <v>330</v>
      </c>
      <c r="C258" s="14" t="s">
        <v>331</v>
      </c>
      <c r="D258" s="97" t="str">
        <f>IF(H258="P",CONCATENATE("Phot Set= ",I258,IF(J258=0,"",CONCATENATE(", qy= ",TEXT(J258,"0.0e+0")))),H258)</f>
        <v>Phot Set= CCHO_R</v>
      </c>
      <c r="E258" s="98"/>
      <c r="F258" s="98"/>
      <c r="G258" s="99"/>
      <c r="H258" s="39" t="s">
        <v>1856</v>
      </c>
      <c r="I258" s="49" t="s">
        <v>332</v>
      </c>
      <c r="K258" s="116" t="s">
        <v>1861</v>
      </c>
      <c r="L258" s="120"/>
      <c r="M258" s="117"/>
      <c r="N258" s="116"/>
      <c r="O258" s="117"/>
      <c r="P258" s="118"/>
      <c r="Q258" s="117"/>
      <c r="S258" s="40">
        <f t="shared" si="18"/>
      </c>
      <c r="T258" s="116"/>
      <c r="U258" s="117"/>
      <c r="V258" s="116"/>
      <c r="W258" s="116"/>
      <c r="X258" s="117"/>
      <c r="Y258" s="117"/>
    </row>
    <row r="259" spans="2:25" ht="15">
      <c r="B259" s="49" t="s">
        <v>333</v>
      </c>
      <c r="C259" s="14" t="s">
        <v>334</v>
      </c>
      <c r="D259" s="100">
        <f>IF(OR(H259="T",H259="C"),S259,H259)</f>
        <v>2.841202890814028E-15</v>
      </c>
      <c r="E259" s="100">
        <f>IF(H259="C","",K259)</f>
        <v>1.4E-12</v>
      </c>
      <c r="F259" s="101">
        <f>IF(H259="C","",U259)</f>
        <v>3.6961920000000004</v>
      </c>
      <c r="G259" s="101">
        <f>IF(M259=0,"",M259)</f>
      </c>
      <c r="H259" s="39" t="s">
        <v>1859</v>
      </c>
      <c r="K259" s="116">
        <v>1.4E-12</v>
      </c>
      <c r="L259" s="120">
        <v>1860</v>
      </c>
      <c r="M259" s="117">
        <v>0</v>
      </c>
      <c r="N259" s="116"/>
      <c r="O259" s="117"/>
      <c r="P259" s="118"/>
      <c r="Q259" s="117"/>
      <c r="S259" s="40">
        <f>IF(OR(H259="T",H259="C"),T259,IF(H259="F",(V259/(1+(V259/T259)))*Q259^(1/(1+((LOG10(V259/T259)/R259)^2))),IF(H259="S1",T259+V259,IF(H259="S2",T259+(V259/(1+(V259/T324))),""))))</f>
        <v>2.841202890814028E-15</v>
      </c>
      <c r="T259" s="40">
        <f>K259*EXP(-L259/T$4)*((T$4/300)^M259)</f>
        <v>2.841202890814028E-15</v>
      </c>
      <c r="U259" s="15">
        <f>L259*Rfac</f>
        <v>3.6961920000000004</v>
      </c>
      <c r="V259" s="116"/>
      <c r="W259" s="116"/>
      <c r="X259" s="117"/>
      <c r="Y259" s="117"/>
    </row>
    <row r="260" spans="2:25" ht="25.5">
      <c r="B260" s="49" t="s">
        <v>335</v>
      </c>
      <c r="C260" s="14" t="s">
        <v>342</v>
      </c>
      <c r="D260" s="100">
        <f>IF(OR(H260="T",H260="C"),S260,H260)</f>
        <v>1.9672870206554567E-11</v>
      </c>
      <c r="E260" s="100">
        <f>IF(H260="C","",K260)</f>
        <v>5.1E-12</v>
      </c>
      <c r="F260" s="101">
        <f>IF(H260="C","",U260)</f>
        <v>-0.8048160000000001</v>
      </c>
      <c r="G260" s="101">
        <f>IF(M260=0,"",M260)</f>
      </c>
      <c r="H260" s="39" t="s">
        <v>1859</v>
      </c>
      <c r="K260" s="116">
        <v>5.1E-12</v>
      </c>
      <c r="L260" s="120">
        <v>-405</v>
      </c>
      <c r="M260" s="117"/>
      <c r="N260" s="116"/>
      <c r="O260" s="117"/>
      <c r="P260" s="118"/>
      <c r="Q260" s="117"/>
      <c r="S260" s="40">
        <f t="shared" si="18"/>
        <v>1.9672870206554567E-11</v>
      </c>
      <c r="T260" s="40">
        <f>K260*EXP(-L260/T$4)*((T$4/300)^M260)</f>
        <v>1.9672870206554567E-11</v>
      </c>
      <c r="U260" s="15">
        <f>L260*Rfac</f>
        <v>-0.8048160000000001</v>
      </c>
      <c r="V260" s="116"/>
      <c r="W260" s="116"/>
      <c r="X260" s="117"/>
      <c r="Y260" s="117"/>
    </row>
    <row r="261" spans="2:25" ht="25.5">
      <c r="B261" s="49" t="s">
        <v>337</v>
      </c>
      <c r="C261" s="14" t="s">
        <v>344</v>
      </c>
      <c r="D261" s="97" t="str">
        <f>IF(H261="P",CONCATENATE("Phot Set= ",I261,IF(J261=0,"",CONCATENATE(", qy= ",TEXT(J261,"0.0e+0")))),H261)</f>
        <v>Phot Set= C2CHO</v>
      </c>
      <c r="E261" s="98"/>
      <c r="F261" s="98"/>
      <c r="G261" s="99"/>
      <c r="H261" s="39" t="s">
        <v>1856</v>
      </c>
      <c r="I261" s="49" t="s">
        <v>345</v>
      </c>
      <c r="K261" s="116" t="s">
        <v>1861</v>
      </c>
      <c r="L261" s="120"/>
      <c r="M261" s="117"/>
      <c r="N261" s="116"/>
      <c r="O261" s="117"/>
      <c r="P261" s="118"/>
      <c r="Q261" s="117"/>
      <c r="S261" s="40">
        <f t="shared" si="18"/>
      </c>
      <c r="T261" s="116"/>
      <c r="U261" s="117"/>
      <c r="V261" s="116"/>
      <c r="W261" s="116"/>
      <c r="X261" s="117"/>
      <c r="Y261" s="117"/>
    </row>
    <row r="262" spans="2:25" ht="15">
      <c r="B262" s="49" t="s">
        <v>339</v>
      </c>
      <c r="C262" s="14" t="s">
        <v>347</v>
      </c>
      <c r="D262" s="100">
        <f>IF(OR(H262="T",H262="C"),S262,H262)</f>
        <v>6.736637067093363E-15</v>
      </c>
      <c r="E262" s="100">
        <f>IF(H262="C","",K262)</f>
        <v>1.4E-12</v>
      </c>
      <c r="F262" s="101">
        <f>IF(H262="C","",U262)</f>
        <v>3.1815072000000004</v>
      </c>
      <c r="G262" s="101">
        <f>IF(M262=0,"",M262)</f>
      </c>
      <c r="H262" s="39" t="s">
        <v>1859</v>
      </c>
      <c r="K262" s="116">
        <v>1.4E-12</v>
      </c>
      <c r="L262" s="41">
        <v>1601</v>
      </c>
      <c r="M262" s="117"/>
      <c r="N262" s="116"/>
      <c r="O262" s="117"/>
      <c r="P262" s="118"/>
      <c r="Q262" s="117"/>
      <c r="S262" s="40">
        <f>IF(OR(H262="T",H262="C"),T262,IF(H262="F",(V262/(1+(V262/T262)))*Q262^(1/(1+((LOG10(V262/T262)/R262)^2))),IF(H262="S1",T262+V262,IF(H262="S2",T262+(V262/(1+(V262/#REF!))),""))))</f>
        <v>6.736637067093363E-15</v>
      </c>
      <c r="T262" s="40">
        <f>K262*EXP(-L262/T$4)*((T$4/300)^M262)</f>
        <v>6.736637067093363E-15</v>
      </c>
      <c r="U262" s="15">
        <f>L262*Rfac</f>
        <v>3.1815072000000004</v>
      </c>
      <c r="V262" s="116"/>
      <c r="W262" s="116"/>
      <c r="X262" s="117"/>
      <c r="Y262" s="117"/>
    </row>
    <row r="263" spans="2:25" ht="25.5">
      <c r="B263" s="49" t="s">
        <v>341</v>
      </c>
      <c r="C263" s="14" t="s">
        <v>349</v>
      </c>
      <c r="D263" s="100">
        <f>IF(OR(H263="T",H263="C"),S263,H263)</f>
        <v>1.9059872469342345E-13</v>
      </c>
      <c r="E263" s="100">
        <f>IF(H263="C","",K263)</f>
        <v>4.561335071096453E-14</v>
      </c>
      <c r="F263" s="101">
        <f>IF(H263="C","",U263)</f>
        <v>-0.8524908244460376</v>
      </c>
      <c r="G263" s="101">
        <f>IF(M263=0,"",M263)</f>
        <v>3.645551849794702</v>
      </c>
      <c r="H263" s="39" t="s">
        <v>1859</v>
      </c>
      <c r="K263" s="116">
        <v>4.561335071096453E-14</v>
      </c>
      <c r="L263" s="120">
        <v>-428.99095433073546</v>
      </c>
      <c r="M263" s="117">
        <v>3.645551849794702</v>
      </c>
      <c r="N263" s="116"/>
      <c r="O263" s="117"/>
      <c r="P263" s="118"/>
      <c r="Q263" s="117"/>
      <c r="S263" s="40">
        <f t="shared" si="18"/>
        <v>1.9059872469342345E-13</v>
      </c>
      <c r="T263" s="40">
        <f>K263*EXP(-L263/T$4)*((T$4/300)^M263)</f>
        <v>1.9059872469342345E-13</v>
      </c>
      <c r="U263" s="15">
        <f>L263*Rfac</f>
        <v>-0.8524908244460376</v>
      </c>
      <c r="V263" s="116"/>
      <c r="W263" s="116"/>
      <c r="X263" s="117"/>
      <c r="Y263" s="117"/>
    </row>
    <row r="264" spans="2:25" ht="25.5">
      <c r="B264" s="49" t="s">
        <v>343</v>
      </c>
      <c r="C264" s="14" t="s">
        <v>351</v>
      </c>
      <c r="D264" s="97" t="str">
        <f>IF(H264="P",CONCATENATE("Phot Set= ",I264,IF(J264=0,"",CONCATENATE(", qy= ",TEXT(J264,"0.0")))),H264)</f>
        <v>Phot Set= ACET-06, qy= 0.5</v>
      </c>
      <c r="E264" s="98"/>
      <c r="F264" s="98"/>
      <c r="G264" s="99"/>
      <c r="H264" s="39" t="s">
        <v>1856</v>
      </c>
      <c r="I264" s="49" t="s">
        <v>352</v>
      </c>
      <c r="J264" s="18">
        <v>0.5</v>
      </c>
      <c r="K264" s="116" t="s">
        <v>1861</v>
      </c>
      <c r="L264" s="120"/>
      <c r="M264" s="117"/>
      <c r="N264" s="116"/>
      <c r="O264" s="117"/>
      <c r="P264" s="118"/>
      <c r="Q264" s="117"/>
      <c r="S264" s="40">
        <f>IF(OR(H264="T",H264="C"),T264,IF(H264="F",(V264/(1+(V264/T264)))*Q264^(1/(1+((LOG10(V264/T264)/R264)^2))),IF(H264="S1",T264+V264,IF(H264="S2",T264+(V264/(1+(V264/#REF!))),""))))</f>
      </c>
      <c r="T264" s="116"/>
      <c r="U264" s="117"/>
      <c r="V264" s="116"/>
      <c r="W264" s="116"/>
      <c r="X264" s="117"/>
      <c r="Y264" s="117"/>
    </row>
    <row r="265" spans="2:25" ht="51">
      <c r="B265" s="49" t="s">
        <v>346</v>
      </c>
      <c r="C265" s="14" t="s">
        <v>354</v>
      </c>
      <c r="D265" s="100">
        <f>IF(OR(H265="T",H265="C"),S265,H265)</f>
        <v>1.1960577390181201E-12</v>
      </c>
      <c r="E265" s="100">
        <f>IF(H265="C","",K265)</f>
        <v>1.3E-12</v>
      </c>
      <c r="F265" s="101">
        <f>IF(H265="C","",U265)</f>
        <v>0.04968</v>
      </c>
      <c r="G265" s="101">
        <f>IF(M265=0,"",M265)</f>
        <v>2</v>
      </c>
      <c r="H265" s="39" t="s">
        <v>1859</v>
      </c>
      <c r="K265" s="116">
        <v>1.3E-12</v>
      </c>
      <c r="L265" s="120">
        <v>25</v>
      </c>
      <c r="M265" s="117">
        <v>2</v>
      </c>
      <c r="N265" s="116"/>
      <c r="O265" s="117"/>
      <c r="P265" s="118"/>
      <c r="Q265" s="117"/>
      <c r="S265" s="40">
        <f t="shared" si="18"/>
        <v>1.1960577390181201E-12</v>
      </c>
      <c r="T265" s="40">
        <f>K265*EXP(-L265/T$4)*((T$4/300)^M265)</f>
        <v>1.1960577390181201E-12</v>
      </c>
      <c r="U265" s="15">
        <f>L265*Rfac</f>
        <v>0.04968</v>
      </c>
      <c r="V265" s="116"/>
      <c r="W265" s="116"/>
      <c r="X265" s="117"/>
      <c r="Y265" s="117"/>
    </row>
    <row r="266" spans="2:25" ht="25.5">
      <c r="B266" s="49" t="s">
        <v>348</v>
      </c>
      <c r="C266" s="14" t="s">
        <v>356</v>
      </c>
      <c r="D266" s="97" t="str">
        <f>IF(H266="P",CONCATENATE("Phot Set= ",I266,IF(J266=0,"",CONCATENATE(", qy= ",TEXT(J266,"0.000")))),H266)</f>
        <v>Phot Set= MEK-06, qy= 0.175</v>
      </c>
      <c r="E266" s="98"/>
      <c r="F266" s="98"/>
      <c r="G266" s="99"/>
      <c r="H266" s="39" t="s">
        <v>1856</v>
      </c>
      <c r="I266" s="49" t="s">
        <v>357</v>
      </c>
      <c r="J266" s="18">
        <v>0.175</v>
      </c>
      <c r="K266" s="116" t="s">
        <v>1861</v>
      </c>
      <c r="L266" s="120"/>
      <c r="M266" s="117"/>
      <c r="N266" s="116"/>
      <c r="O266" s="117"/>
      <c r="P266" s="118"/>
      <c r="Q266" s="117"/>
      <c r="S266" s="40">
        <f>IF(OR(H266="T",H266="C"),T266,IF(H266="F",(V266/(1+(V266/T266)))*Q266^(1/(1+((LOG10(V266/T266)/R266)^2))),IF(H266="S1",T266+V266,IF(H266="S2",T266+(V266/(1+(V266/#REF!))),""))))</f>
      </c>
      <c r="T266" s="116"/>
      <c r="U266" s="117"/>
      <c r="V266" s="116"/>
      <c r="W266" s="116"/>
      <c r="X266" s="117"/>
      <c r="Y266" s="117"/>
    </row>
    <row r="267" spans="2:25" ht="15">
      <c r="B267" s="49" t="s">
        <v>350</v>
      </c>
      <c r="C267" s="14" t="s">
        <v>359</v>
      </c>
      <c r="D267" s="100">
        <f>IF(OR(H267="T",H267="C"),S267,H267)</f>
        <v>9.024147927303019E-13</v>
      </c>
      <c r="E267" s="100">
        <f>IF(H267="C","",K267)</f>
        <v>2.85E-12</v>
      </c>
      <c r="F267" s="101">
        <f>IF(H267="C","",U267)</f>
        <v>0.6855840000000001</v>
      </c>
      <c r="G267" s="101">
        <f>IF(M267=0,"",M267)</f>
      </c>
      <c r="H267" s="39" t="s">
        <v>1859</v>
      </c>
      <c r="K267" s="116">
        <v>2.85E-12</v>
      </c>
      <c r="L267" s="120">
        <v>345</v>
      </c>
      <c r="M267" s="117">
        <v>0</v>
      </c>
      <c r="N267" s="116"/>
      <c r="O267" s="117"/>
      <c r="P267" s="118"/>
      <c r="Q267" s="117"/>
      <c r="S267" s="40">
        <f>IF(OR(H267="T",H267="C"),T267,IF(H267="F",(V267/(1+(V267/T267)))*Q267^(1/(1+((LOG10(V267/T267)/R267)^2))),IF(H267="S1",T267+V267,IF(H267="S2",T267+(V267/(1+(V267/#REF!))),""))))</f>
        <v>9.024147927303019E-13</v>
      </c>
      <c r="T267" s="40">
        <f>K267*EXP(-L267/T$4)*((T$4/300)^M267)</f>
        <v>9.024147927303019E-13</v>
      </c>
      <c r="U267" s="15">
        <f>L267*Rfac</f>
        <v>0.6855840000000001</v>
      </c>
      <c r="V267" s="116"/>
      <c r="W267" s="116"/>
      <c r="X267" s="117"/>
      <c r="Y267" s="117"/>
    </row>
    <row r="268" spans="2:25" ht="15">
      <c r="B268" s="49" t="s">
        <v>353</v>
      </c>
      <c r="C268" s="14" t="s">
        <v>361</v>
      </c>
      <c r="D268" s="100">
        <f>IF(OR(H268="T",H268="C"),S268,H268)</f>
        <v>4.5E-13</v>
      </c>
      <c r="E268" s="100">
        <f>IF(H268="C","",K268)</f>
      </c>
      <c r="F268" s="101">
        <f>IF(H268="C","",U268)</f>
      </c>
      <c r="G268" s="101">
        <f>IF(M268=0,"",M268)</f>
      </c>
      <c r="H268" s="39" t="s">
        <v>1851</v>
      </c>
      <c r="K268" s="116">
        <v>4.5E-13</v>
      </c>
      <c r="L268" s="120"/>
      <c r="M268" s="117"/>
      <c r="N268" s="116"/>
      <c r="O268" s="117"/>
      <c r="P268" s="118"/>
      <c r="Q268" s="117"/>
      <c r="S268" s="40">
        <f>IF(OR(H268="T",H268="C"),T268,IF(H268="F",(V268/(1+(V268/T268)))*Q268^(1/(1+((LOG10(V268/T268)/R268)^2))),IF(H268="S1",T268+V268,IF(H268="S2",T268+(V268/(1+(V268/T271))),""))))</f>
        <v>4.5E-13</v>
      </c>
      <c r="T268" s="40">
        <f>K268*EXP(-L268/T$4)*((T$4/300)^M268)</f>
        <v>4.5E-13</v>
      </c>
      <c r="U268" s="15">
        <f>L268*Rfac</f>
        <v>0</v>
      </c>
      <c r="V268" s="116"/>
      <c r="W268" s="116"/>
      <c r="X268" s="117"/>
      <c r="Y268" s="117"/>
    </row>
    <row r="269" spans="2:25" ht="38.25">
      <c r="B269" s="49" t="s">
        <v>355</v>
      </c>
      <c r="C269" s="14" t="s">
        <v>488</v>
      </c>
      <c r="D269" s="100">
        <f>IF(OR(H269="T",H269="C"),S269,H269)</f>
        <v>7.260868373038408E-13</v>
      </c>
      <c r="E269" s="100">
        <f>IF(H269="C","",K269)</f>
        <v>4.2E-14</v>
      </c>
      <c r="F269" s="101">
        <f>IF(H269="C","",U269)</f>
        <v>-1.6990560000000001</v>
      </c>
      <c r="G269" s="101"/>
      <c r="H269" s="39" t="s">
        <v>1859</v>
      </c>
      <c r="K269" s="116">
        <v>4.2E-14</v>
      </c>
      <c r="L269" s="120">
        <v>-855</v>
      </c>
      <c r="M269" s="117"/>
      <c r="N269" s="116"/>
      <c r="O269" s="117"/>
      <c r="P269" s="118"/>
      <c r="Q269" s="117"/>
      <c r="S269" s="40">
        <f>IF(OR(H269="T",H269="C"),T269,IF(H269="F",(V269/(1+(V269/T269)))*Q269^(1/(1+((LOG10(V269/T269)/R269)^2))),IF(H269="S1",T269+V269,IF(H269="S2",T269+(V269/(1+(V269/T272))),""))))</f>
        <v>7.260868373038408E-13</v>
      </c>
      <c r="T269" s="40">
        <f>K269*EXP(-L269/T$4)*((T$4/300)^M269)</f>
        <v>7.260868373038408E-13</v>
      </c>
      <c r="U269" s="15">
        <f>L269*Rfac</f>
        <v>-1.6990560000000001</v>
      </c>
      <c r="V269" s="116"/>
      <c r="W269" s="116"/>
      <c r="X269" s="117"/>
      <c r="Y269" s="117"/>
    </row>
    <row r="270" spans="2:25" ht="38.25">
      <c r="B270" s="49" t="s">
        <v>358</v>
      </c>
      <c r="C270" s="14" t="s">
        <v>364</v>
      </c>
      <c r="D270" s="100">
        <f>IF(OR(H270="T",H270="C"),S270,H270)</f>
        <v>1.2E-12</v>
      </c>
      <c r="E270" s="100">
        <f>IF(H270="C","",K270)</f>
      </c>
      <c r="F270" s="101">
        <f>IF(H270="C","",U270)</f>
      </c>
      <c r="G270" s="101"/>
      <c r="H270" s="39" t="s">
        <v>1851</v>
      </c>
      <c r="K270" s="116">
        <v>1.2E-12</v>
      </c>
      <c r="L270" s="120"/>
      <c r="M270" s="117"/>
      <c r="N270" s="116"/>
      <c r="O270" s="117"/>
      <c r="P270" s="118"/>
      <c r="Q270" s="117"/>
      <c r="S270" s="40">
        <f>IF(OR(H270="T",H270="C"),T270,IF(H270="F",(V270/(1+(V270/T270)))*Q270^(1/(1+((LOG10(V270/T270)/R270)^2))),IF(H270="S1",T270+V270,IF(H270="S2",T270+(V270/(1+(V270/#REF!))),""))))</f>
        <v>1.2E-12</v>
      </c>
      <c r="T270" s="40">
        <f>K270*EXP(-L270/T$4)*((T$4/300)^M270)</f>
        <v>1.2E-12</v>
      </c>
      <c r="U270" s="15">
        <f>L270*Rfac</f>
        <v>0</v>
      </c>
      <c r="V270" s="116"/>
      <c r="W270" s="116"/>
      <c r="X270" s="117"/>
      <c r="Y270" s="117"/>
    </row>
    <row r="271" spans="2:25" ht="25.5">
      <c r="B271" s="49" t="s">
        <v>360</v>
      </c>
      <c r="C271" s="14" t="s">
        <v>1046</v>
      </c>
      <c r="D271" s="100">
        <f>IF(OR(H271="T",H271="C"),S271,H271)</f>
        <v>7.401389356007768E-12</v>
      </c>
      <c r="E271" s="100">
        <f>IF(H271="C","",K271)</f>
        <v>3.8E-12</v>
      </c>
      <c r="F271" s="101">
        <f>IF(H271="C","",U271)</f>
        <v>-0.39744</v>
      </c>
      <c r="G271" s="101">
        <f>IF(M271=0,"",M271)</f>
      </c>
      <c r="H271" s="39" t="s">
        <v>1859</v>
      </c>
      <c r="K271" s="116">
        <v>3.8E-12</v>
      </c>
      <c r="L271" s="120">
        <v>-200</v>
      </c>
      <c r="M271" s="117"/>
      <c r="N271" s="116"/>
      <c r="O271" s="117"/>
      <c r="P271" s="118"/>
      <c r="Q271" s="117"/>
      <c r="S271" s="40">
        <f>IF(OR(H271="T",H271="C"),T271,IF(H271="F",(V271/(1+(V271/T271)))*Q271^(1/(1+((LOG10(V271/T271)/R271)^2))),IF(H271="S1",T271+V271,IF(H271="S2",T271+(V271/(1+(V271/T272))),""))))</f>
        <v>7.401389356007768E-12</v>
      </c>
      <c r="T271" s="40">
        <f>K271*EXP(-L271/T$4)*((T$4/300)^M271)</f>
        <v>7.401389356007768E-12</v>
      </c>
      <c r="U271" s="15">
        <f>L271*Rfac</f>
        <v>-0.39744</v>
      </c>
      <c r="V271" s="116"/>
      <c r="W271" s="116"/>
      <c r="X271" s="117"/>
      <c r="Y271" s="117"/>
    </row>
    <row r="272" spans="2:25" ht="15">
      <c r="B272" s="49" t="s">
        <v>362</v>
      </c>
      <c r="C272" s="14" t="s">
        <v>367</v>
      </c>
      <c r="D272" s="97" t="str">
        <f>IF(H272="P",CONCATENATE("Phot Set= ",I272,IF(J272=0,"",CONCATENATE(", qy= ",TEXT(J272,"0.0e+0")))),H272)</f>
        <v>Phot Set= COOH</v>
      </c>
      <c r="E272" s="98"/>
      <c r="F272" s="98"/>
      <c r="G272" s="99"/>
      <c r="H272" s="39" t="s">
        <v>1856</v>
      </c>
      <c r="I272" s="49" t="s">
        <v>1497</v>
      </c>
      <c r="K272" s="116" t="s">
        <v>1861</v>
      </c>
      <c r="L272" s="120"/>
      <c r="M272" s="117"/>
      <c r="N272" s="116"/>
      <c r="O272" s="117"/>
      <c r="P272" s="118"/>
      <c r="Q272" s="117"/>
      <c r="S272" s="40">
        <f>IF(OR(H272="T",H272="C"),T272,IF(H272="F",(V272/(1+(V272/T272)))*Q272^(1/(1+((LOG10(V272/T272)/R272)^2))),IF(H272="S1",T272+V272,IF(H272="S2",T272+(V272/(1+(V272/#REF!))),""))))</f>
      </c>
      <c r="T272" s="116"/>
      <c r="U272" s="117"/>
      <c r="V272" s="116"/>
      <c r="W272" s="116"/>
      <c r="X272" s="117"/>
      <c r="Y272" s="117"/>
    </row>
    <row r="273" spans="2:25" ht="63.75">
      <c r="B273" s="49" t="s">
        <v>363</v>
      </c>
      <c r="C273" s="14" t="s">
        <v>1047</v>
      </c>
      <c r="D273" s="100">
        <f>IF(OR(H273="T",H273="C"),S273,H273)</f>
        <v>2.5E-11</v>
      </c>
      <c r="E273" s="100">
        <f>IF(H273="C","",K273)</f>
      </c>
      <c r="F273" s="101">
        <f>IF(H273="C","",U273)</f>
      </c>
      <c r="G273" s="101">
        <f>IF(M273=0,"",M273)</f>
      </c>
      <c r="H273" s="39" t="s">
        <v>1851</v>
      </c>
      <c r="K273" s="116">
        <v>2.5E-11</v>
      </c>
      <c r="L273" s="120"/>
      <c r="M273" s="117"/>
      <c r="N273" s="116"/>
      <c r="O273" s="117"/>
      <c r="P273" s="118"/>
      <c r="Q273" s="117"/>
      <c r="S273" s="40">
        <f>IF(OR(H273="T",H273="C"),T273,IF(H273="F",(V273/(1+(V273/T273)))*Q273^(1/(1+((LOG10(V273/T273)/R273)^2))),IF(H273="S1",T273+V273,IF(H273="S2",T273+(V273/(1+(V273/T274))),""))))</f>
        <v>2.5E-11</v>
      </c>
      <c r="T273" s="40">
        <f>K273*EXP(-L273/T$4)*((T$4/300)^M273)</f>
        <v>2.5E-11</v>
      </c>
      <c r="U273" s="117"/>
      <c r="V273" s="116"/>
      <c r="W273" s="116"/>
      <c r="X273" s="117"/>
      <c r="Y273" s="117"/>
    </row>
    <row r="274" spans="2:25" ht="15">
      <c r="B274" s="49" t="s">
        <v>365</v>
      </c>
      <c r="C274" s="14" t="s">
        <v>370</v>
      </c>
      <c r="D274" s="97" t="str">
        <f>IF(H274="P",CONCATENATE("Phot Set= ",I274,IF(J274=0,"",CONCATENATE(", qy= ",TEXT(J274,"0.0e+0")))),H274)</f>
        <v>Phot Set= COOH</v>
      </c>
      <c r="E274" s="98"/>
      <c r="F274" s="98"/>
      <c r="G274" s="99"/>
      <c r="H274" s="39" t="s">
        <v>1856</v>
      </c>
      <c r="I274" s="49" t="s">
        <v>1497</v>
      </c>
      <c r="K274" s="116" t="s">
        <v>1861</v>
      </c>
      <c r="L274" s="120"/>
      <c r="M274" s="117"/>
      <c r="N274" s="116"/>
      <c r="O274" s="117"/>
      <c r="P274" s="118"/>
      <c r="Q274" s="117"/>
      <c r="S274" s="40">
        <f>IF(OR(H274="T",H274="C"),T274,IF(H274="F",(V274/(1+(V274/T274)))*Q274^(1/(1+((LOG10(V274/T274)/R274)^2))),IF(H274="S1",T274+V274,IF(H274="S2",T274+(V274/(1+(V274/#REF!))),""))))</f>
      </c>
      <c r="T274" s="116"/>
      <c r="U274" s="117"/>
      <c r="V274" s="116"/>
      <c r="W274" s="116"/>
      <c r="X274" s="117"/>
      <c r="Y274" s="117"/>
    </row>
    <row r="275" spans="2:25" ht="63.75">
      <c r="B275" s="49" t="s">
        <v>366</v>
      </c>
      <c r="C275" s="14" t="s">
        <v>1048</v>
      </c>
      <c r="D275" s="100">
        <f>IF(OR(H275="T",H275="C"),S275,H275)</f>
        <v>5.6E-11</v>
      </c>
      <c r="E275" s="100">
        <f>IF(H275="C","",K275)</f>
      </c>
      <c r="F275" s="101">
        <f>IF(H275="C","",U275)</f>
      </c>
      <c r="G275" s="101">
        <f>IF(M275=0,"",M275)</f>
      </c>
      <c r="H275" s="39" t="s">
        <v>1851</v>
      </c>
      <c r="K275" s="116">
        <v>5.6E-11</v>
      </c>
      <c r="L275" s="120"/>
      <c r="M275" s="117"/>
      <c r="N275" s="116"/>
      <c r="O275" s="117"/>
      <c r="P275" s="118"/>
      <c r="Q275" s="117"/>
      <c r="S275" s="40">
        <f>IF(OR(H275="T",H275="C"),T275,IF(H275="F",(V275/(1+(V275/T275)))*Q275^(1/(1+((LOG10(V275/T275)/R275)^2))),IF(H275="S1",T275+V275,IF(H275="S2",T275+(V275/(1+(V275/T276))),""))))</f>
        <v>5.6E-11</v>
      </c>
      <c r="T275" s="40">
        <f>K275*EXP(-L275/T$4)*((T$4/300)^M275)</f>
        <v>5.6E-11</v>
      </c>
      <c r="U275" s="117"/>
      <c r="V275" s="116"/>
      <c r="W275" s="116"/>
      <c r="X275" s="117"/>
      <c r="Y275" s="117"/>
    </row>
    <row r="276" spans="2:25" ht="63.75">
      <c r="B276" s="49" t="s">
        <v>368</v>
      </c>
      <c r="C276" s="14" t="s">
        <v>373</v>
      </c>
      <c r="D276" s="97" t="str">
        <f>IF(H276="P",CONCATENATE("Phot Set= ",I276,IF(J276=0,"",CONCATENATE(", qy= ",TEXT(J276,"0.0e+0")))),H276)</f>
        <v>Phot Set= COOH</v>
      </c>
      <c r="E276" s="98"/>
      <c r="F276" s="98"/>
      <c r="G276" s="99"/>
      <c r="H276" s="39" t="s">
        <v>1856</v>
      </c>
      <c r="I276" s="49" t="s">
        <v>1497</v>
      </c>
      <c r="K276" s="116"/>
      <c r="L276" s="120"/>
      <c r="M276" s="117"/>
      <c r="N276" s="116"/>
      <c r="O276" s="117"/>
      <c r="P276" s="118"/>
      <c r="Q276" s="117"/>
      <c r="S276" s="40"/>
      <c r="T276" s="116"/>
      <c r="U276" s="117"/>
      <c r="V276" s="116"/>
      <c r="W276" s="116"/>
      <c r="X276" s="117"/>
      <c r="Y276" s="117"/>
    </row>
    <row r="277" spans="2:25" ht="89.25">
      <c r="B277" s="49" t="s">
        <v>369</v>
      </c>
      <c r="C277" s="14" t="s">
        <v>1049</v>
      </c>
      <c r="D277" s="100">
        <f>IF(OR(H277="T",H277="C"),S277,H277)</f>
        <v>1.41E-10</v>
      </c>
      <c r="E277" s="100">
        <f>IF(H277="C","",K277)</f>
      </c>
      <c r="F277" s="101">
        <f>IF(H277="C","",U277)</f>
      </c>
      <c r="G277" s="101">
        <f>IF(M277=0,"",M277)</f>
      </c>
      <c r="H277" s="39" t="s">
        <v>1851</v>
      </c>
      <c r="K277" s="116">
        <v>1.41E-10</v>
      </c>
      <c r="L277" s="120"/>
      <c r="M277" s="117"/>
      <c r="N277" s="116"/>
      <c r="O277" s="117"/>
      <c r="P277" s="118"/>
      <c r="Q277" s="117"/>
      <c r="S277" s="40">
        <f>IF(OR(H277="T",H277="C"),T277,IF(H277="F",(V277/(1+(V277/T277)))*Q277^(1/(1+((LOG10(V277/T277)/R277)^2))),IF(H277="S1",T277+V277,IF(H277="S2",T277+(V277/(1+(V277/T278))),""))))</f>
        <v>1.41E-10</v>
      </c>
      <c r="T277" s="40">
        <f>K277*EXP(-L277/T$4)*((T$4/300)^M277)</f>
        <v>1.41E-10</v>
      </c>
      <c r="U277" s="117"/>
      <c r="V277" s="116"/>
      <c r="W277" s="116"/>
      <c r="X277" s="117"/>
      <c r="Y277" s="117"/>
    </row>
    <row r="278" spans="2:25" ht="25.5">
      <c r="B278" s="49" t="s">
        <v>371</v>
      </c>
      <c r="C278" s="14" t="s">
        <v>376</v>
      </c>
      <c r="D278" s="97" t="str">
        <f>IF(H278="P",CONCATENATE("Phot Set= ",I278,IF(J278=0,"",CONCATENATE(", qy= ",TEXT(J278,"0.0e+0")))),H278)</f>
        <v>Phot Set= COOH</v>
      </c>
      <c r="E278" s="98"/>
      <c r="F278" s="98"/>
      <c r="G278" s="99"/>
      <c r="H278" s="39" t="s">
        <v>1856</v>
      </c>
      <c r="I278" s="49" t="s">
        <v>1497</v>
      </c>
      <c r="K278" s="116"/>
      <c r="L278" s="120"/>
      <c r="M278" s="117"/>
      <c r="N278" s="116"/>
      <c r="O278" s="117"/>
      <c r="P278" s="118"/>
      <c r="Q278" s="117"/>
      <c r="S278" s="40"/>
      <c r="T278" s="116"/>
      <c r="U278" s="117"/>
      <c r="V278" s="116"/>
      <c r="W278" s="116"/>
      <c r="X278" s="117"/>
      <c r="Y278" s="117"/>
    </row>
    <row r="279" spans="2:25" ht="15">
      <c r="B279" s="49" t="s">
        <v>372</v>
      </c>
      <c r="C279" s="14" t="s">
        <v>378</v>
      </c>
      <c r="D279" s="97" t="str">
        <f>IF(H279="P",CONCATENATE("Phot Set= ",I279,IF(J279=0,"",CONCATENATE(", qy= ",TEXT(J279,"0.0e+0")))),H279)</f>
        <v>Phot Set= GLY-07R</v>
      </c>
      <c r="E279" s="98"/>
      <c r="F279" s="98"/>
      <c r="G279" s="99"/>
      <c r="H279" s="39" t="s">
        <v>1856</v>
      </c>
      <c r="I279" s="49" t="s">
        <v>379</v>
      </c>
      <c r="K279" s="116" t="s">
        <v>1861</v>
      </c>
      <c r="L279" s="120"/>
      <c r="M279" s="117"/>
      <c r="N279" s="116"/>
      <c r="O279" s="117"/>
      <c r="P279" s="118"/>
      <c r="Q279" s="117"/>
      <c r="S279" s="40">
        <f aca="true" t="shared" si="19" ref="S279:S284">IF(OR(H279="T",H279="C"),T279,IF(H279="F",(V279/(1+(V279/T279)))*Q279^(1/(1+((LOG10(V279/T279)/R279)^2))),IF(H279="S1",T279+V279,IF(H279="S2",T279+(V279/(1+(V279/T280))),""))))</f>
      </c>
      <c r="T279" s="116"/>
      <c r="U279" s="117"/>
      <c r="V279" s="116"/>
      <c r="W279" s="116"/>
      <c r="X279" s="117"/>
      <c r="Y279" s="117"/>
    </row>
    <row r="280" spans="2:25" ht="15">
      <c r="B280" s="49" t="s">
        <v>374</v>
      </c>
      <c r="C280" s="14" t="s">
        <v>381</v>
      </c>
      <c r="D280" s="97" t="str">
        <f>IF(H280="P",CONCATENATE("Phot Set= ",I280,IF(J280=0,"",CONCATENATE(", qy= ",TEXT(J280,"0.0e+0")))),H280)</f>
        <v>Phot Set= GLY-07M</v>
      </c>
      <c r="E280" s="98"/>
      <c r="F280" s="98"/>
      <c r="G280" s="99"/>
      <c r="H280" s="39" t="s">
        <v>1856</v>
      </c>
      <c r="I280" s="49" t="s">
        <v>382</v>
      </c>
      <c r="K280" s="116" t="s">
        <v>1861</v>
      </c>
      <c r="L280" s="120"/>
      <c r="M280" s="117"/>
      <c r="N280" s="116"/>
      <c r="O280" s="117"/>
      <c r="P280" s="118"/>
      <c r="Q280" s="117"/>
      <c r="S280" s="40">
        <f t="shared" si="19"/>
      </c>
      <c r="T280" s="116"/>
      <c r="U280" s="117"/>
      <c r="V280" s="116"/>
      <c r="W280" s="116"/>
      <c r="X280" s="117"/>
      <c r="Y280" s="117"/>
    </row>
    <row r="281" spans="2:25" ht="25.5">
      <c r="B281" s="49" t="s">
        <v>375</v>
      </c>
      <c r="C281" s="14" t="s">
        <v>384</v>
      </c>
      <c r="D281" s="100">
        <f>IF(OR(H281="T",H281="C"),S281,H281)</f>
        <v>1.1E-11</v>
      </c>
      <c r="E281" s="100">
        <f>IF(H281="C","",K281)</f>
      </c>
      <c r="F281" s="101">
        <f>IF(H281="C","",U281)</f>
      </c>
      <c r="G281" s="101">
        <f>IF(M281=0,"",M281)</f>
      </c>
      <c r="H281" s="39" t="s">
        <v>1851</v>
      </c>
      <c r="K281" s="116">
        <v>1.1E-11</v>
      </c>
      <c r="L281" s="120"/>
      <c r="M281" s="117"/>
      <c r="N281" s="116"/>
      <c r="O281" s="117"/>
      <c r="P281" s="118"/>
      <c r="Q281" s="117"/>
      <c r="S281" s="40">
        <f t="shared" si="19"/>
        <v>1.1E-11</v>
      </c>
      <c r="T281" s="40">
        <f>K281*EXP(-L281/T$4)*((T$4/300)^M281)</f>
        <v>1.1E-11</v>
      </c>
      <c r="U281" s="117"/>
      <c r="V281" s="116"/>
      <c r="W281" s="116"/>
      <c r="X281" s="117"/>
      <c r="Y281" s="117"/>
    </row>
    <row r="282" spans="2:25" ht="25.5">
      <c r="B282" s="49" t="s">
        <v>377</v>
      </c>
      <c r="C282" s="14" t="s">
        <v>386</v>
      </c>
      <c r="D282" s="100">
        <f>IF(OR(H282="T",H282="C"),S282,H282)</f>
        <v>1.0160045462010844E-15</v>
      </c>
      <c r="E282" s="100">
        <f>IF(H282="C","",K282)</f>
        <v>2.8E-12</v>
      </c>
      <c r="F282" s="101">
        <f>IF(H282="C","",U282)</f>
        <v>4.722479575455737</v>
      </c>
      <c r="G282" s="101">
        <f>IF(M282=0,"",M282)</f>
      </c>
      <c r="H282" s="39" t="s">
        <v>1859</v>
      </c>
      <c r="K282" s="116">
        <v>2.8E-12</v>
      </c>
      <c r="L282" s="41">
        <v>2376.449061722895</v>
      </c>
      <c r="M282" s="117"/>
      <c r="N282" s="116"/>
      <c r="O282" s="117"/>
      <c r="P282" s="118"/>
      <c r="Q282" s="117"/>
      <c r="S282" s="40">
        <f>IF(OR(H282="T",H282="C"),T282,IF(H282="F",(V282/(1+(V282/T282)))*Q282^(1/(1+((LOG10(V282/T282)/R282)^2))),IF(H282="S1",T282+V282,IF(H282="S2",T282+(V282/(1+(V282/#REF!))),""))))</f>
        <v>1.0160045462010844E-15</v>
      </c>
      <c r="T282" s="40">
        <f>K282*EXP(-L282/T$4)*((T$4/300)^M282)</f>
        <v>1.0160045462010844E-15</v>
      </c>
      <c r="U282" s="15">
        <f>L282*Rfac</f>
        <v>4.722479575455737</v>
      </c>
      <c r="V282" s="116"/>
      <c r="W282" s="116"/>
      <c r="X282" s="117"/>
      <c r="Y282" s="117"/>
    </row>
    <row r="283" spans="2:25" ht="15">
      <c r="B283" s="49" t="s">
        <v>380</v>
      </c>
      <c r="C283" s="14" t="s">
        <v>388</v>
      </c>
      <c r="D283" s="97" t="str">
        <f>IF(H283="P",CONCATENATE("Phot Set= ",I283,IF(J283=0,"",CONCATENATE(", qy= ",TEXT(J283,"0.0e+0")))),H283)</f>
        <v>Phot Set= MGLY-06</v>
      </c>
      <c r="E283" s="98"/>
      <c r="F283" s="98"/>
      <c r="G283" s="99"/>
      <c r="H283" s="39" t="s">
        <v>1856</v>
      </c>
      <c r="I283" s="49" t="s">
        <v>389</v>
      </c>
      <c r="K283" s="116" t="s">
        <v>1861</v>
      </c>
      <c r="L283" s="120"/>
      <c r="M283" s="117"/>
      <c r="N283" s="116"/>
      <c r="O283" s="117"/>
      <c r="P283" s="118"/>
      <c r="Q283" s="117"/>
      <c r="S283" s="40">
        <f t="shared" si="19"/>
      </c>
      <c r="T283" s="116"/>
      <c r="U283" s="117"/>
      <c r="V283" s="116"/>
      <c r="W283" s="116"/>
      <c r="X283" s="117"/>
      <c r="Y283" s="117"/>
    </row>
    <row r="284" spans="2:25" ht="15">
      <c r="B284" s="49" t="s">
        <v>383</v>
      </c>
      <c r="C284" s="14" t="s">
        <v>391</v>
      </c>
      <c r="D284" s="100">
        <f>IF(OR(H284="T",H284="C"),S284,H284)</f>
        <v>1.5E-11</v>
      </c>
      <c r="E284" s="100">
        <f>IF(H284="C","",K284)</f>
      </c>
      <c r="F284" s="101">
        <f>IF(H284="C","",U284)</f>
      </c>
      <c r="G284" s="101">
        <f>IF(M284=0,"",M284)</f>
      </c>
      <c r="H284" s="39" t="s">
        <v>1851</v>
      </c>
      <c r="K284" s="116">
        <v>1.5E-11</v>
      </c>
      <c r="L284" s="120"/>
      <c r="M284" s="117"/>
      <c r="N284" s="116"/>
      <c r="O284" s="117"/>
      <c r="P284" s="118"/>
      <c r="Q284" s="117"/>
      <c r="S284" s="40">
        <f t="shared" si="19"/>
        <v>1.5E-11</v>
      </c>
      <c r="T284" s="40">
        <f>K284*EXP(-L284/T$4)*((T$4/300)^M284)</f>
        <v>1.5E-11</v>
      </c>
      <c r="U284" s="117"/>
      <c r="V284" s="116"/>
      <c r="W284" s="116"/>
      <c r="X284" s="117"/>
      <c r="Y284" s="117"/>
    </row>
    <row r="285" spans="2:25" ht="15">
      <c r="B285" s="49" t="s">
        <v>385</v>
      </c>
      <c r="C285" s="14" t="s">
        <v>393</v>
      </c>
      <c r="D285" s="100">
        <f>IF(OR(H285="T",H285="C"),S285,H285)</f>
        <v>2.5300038664959735E-15</v>
      </c>
      <c r="E285" s="100">
        <f>IF(H285="C","",K285)</f>
        <v>1.4E-12</v>
      </c>
      <c r="F285" s="101">
        <f>IF(H285="C","",U285)</f>
        <v>3.7653505450946008</v>
      </c>
      <c r="G285" s="101">
        <f>IF(M285=0,"",M285)</f>
      </c>
      <c r="H285" s="39" t="s">
        <v>1859</v>
      </c>
      <c r="K285" s="116">
        <v>1.4E-12</v>
      </c>
      <c r="L285" s="41">
        <v>1894.8020053817434</v>
      </c>
      <c r="M285" s="117"/>
      <c r="N285" s="116"/>
      <c r="O285" s="117"/>
      <c r="P285" s="118"/>
      <c r="Q285" s="117"/>
      <c r="S285" s="40">
        <f>IF(OR(H285="T",H285="C"),T285,IF(H285="F",(V285/(1+(V285/T285)))*Q285^(1/(1+((LOG10(V285/T285)/R285)^2))),IF(H285="S1",T285+V285,IF(H285="S2",T285+(V285/(1+(V285/#REF!))),""))))</f>
        <v>2.5300038664959735E-15</v>
      </c>
      <c r="T285" s="40">
        <f>K285*EXP(-L285/T$4)*((T$4/300)^M285)</f>
        <v>2.5300038664959735E-15</v>
      </c>
      <c r="U285" s="15">
        <f>L285*Rfac</f>
        <v>3.7653505450946008</v>
      </c>
      <c r="V285" s="116"/>
      <c r="W285" s="116"/>
      <c r="X285" s="117"/>
      <c r="Y285" s="117"/>
    </row>
    <row r="286" spans="2:25" ht="15">
      <c r="B286" s="49" t="s">
        <v>387</v>
      </c>
      <c r="C286" s="14" t="s">
        <v>395</v>
      </c>
      <c r="D286" s="97" t="str">
        <f>IF(H286="P",CONCATENATE("Phot Set= ",I286,IF(J286=0,"",CONCATENATE(", qy= ",TEXT(J286,"0.0e+0")))),H286)</f>
        <v>Phot Set= BACL-07</v>
      </c>
      <c r="E286" s="98"/>
      <c r="F286" s="98"/>
      <c r="G286" s="99"/>
      <c r="H286" s="39" t="s">
        <v>1856</v>
      </c>
      <c r="I286" s="49" t="s">
        <v>396</v>
      </c>
      <c r="K286" s="116" t="s">
        <v>1861</v>
      </c>
      <c r="L286" s="120"/>
      <c r="M286" s="117"/>
      <c r="N286" s="116"/>
      <c r="O286" s="117"/>
      <c r="P286" s="118"/>
      <c r="Q286" s="117"/>
      <c r="S286" s="40">
        <f>IF(OR(H286="T",H286="C"),T286,IF(H286="F",(V286/(1+(V286/T286)))*Q286^(1/(1+((LOG10(V286/T286)/R286)^2))),IF(H286="S1",T286+V286,IF(H286="S2",T286+(V286/(1+(V286/#REF!))),""))))</f>
      </c>
      <c r="T286" s="116"/>
      <c r="U286" s="117"/>
      <c r="V286" s="116"/>
      <c r="W286" s="116"/>
      <c r="X286" s="117"/>
      <c r="Y286" s="117"/>
    </row>
    <row r="287" spans="2:25" ht="25.5">
      <c r="B287" s="49" t="s">
        <v>390</v>
      </c>
      <c r="C287" s="14" t="s">
        <v>398</v>
      </c>
      <c r="D287" s="100">
        <f>IF(OR(H287="T",H287="C"),S287,H287)</f>
        <v>4.033803892674877E-11</v>
      </c>
      <c r="E287" s="100">
        <f>IF(H287="C","",K287)</f>
        <v>1.7E-12</v>
      </c>
      <c r="F287" s="101">
        <f>IF(H287="C","",U287)</f>
        <v>-1.8878400000000002</v>
      </c>
      <c r="G287" s="101">
        <f>IF(M287=0,"",M287)</f>
      </c>
      <c r="H287" s="39" t="s">
        <v>1859</v>
      </c>
      <c r="K287" s="116">
        <v>1.7E-12</v>
      </c>
      <c r="L287" s="120">
        <v>-950</v>
      </c>
      <c r="M287" s="117"/>
      <c r="N287" s="116"/>
      <c r="O287" s="117"/>
      <c r="P287" s="118"/>
      <c r="Q287" s="117"/>
      <c r="S287" s="40">
        <f>IF(OR(H287="T",H287="C"),T287,IF(H287="F",(V287/(1+(V287/T287)))*Q287^(1/(1+((LOG10(V287/T287)/R287)^2))),IF(H287="S1",T287+V287,IF(H287="S2",T287+(V287/(1+(V287/T288))),""))))</f>
        <v>4.033803892674877E-11</v>
      </c>
      <c r="T287" s="40">
        <f>K287*EXP(-L287/T$4)*((T$4/300)^M287)</f>
        <v>4.033803892674877E-11</v>
      </c>
      <c r="U287" s="15">
        <f>L287*Rfac</f>
        <v>-1.8878400000000002</v>
      </c>
      <c r="V287" s="116"/>
      <c r="W287" s="116"/>
      <c r="X287" s="117"/>
      <c r="Y287" s="117"/>
    </row>
    <row r="288" spans="2:25" ht="15">
      <c r="B288" s="49" t="s">
        <v>392</v>
      </c>
      <c r="C288" s="14" t="s">
        <v>400</v>
      </c>
      <c r="D288" s="100">
        <f>IF(OR(H288="T",H288="C"),S288,H288)</f>
        <v>1.4E-11</v>
      </c>
      <c r="E288" s="100">
        <f>IF(H288="C","",K288)</f>
      </c>
      <c r="F288" s="101">
        <f>IF(H288="C","",U288)</f>
      </c>
      <c r="G288" s="101">
        <f>IF(M288=0,"",M288)</f>
      </c>
      <c r="H288" s="39" t="s">
        <v>1851</v>
      </c>
      <c r="K288" s="116">
        <v>1.4E-11</v>
      </c>
      <c r="L288" s="120"/>
      <c r="M288" s="117"/>
      <c r="N288" s="116"/>
      <c r="O288" s="117"/>
      <c r="P288" s="118"/>
      <c r="Q288" s="117"/>
      <c r="S288" s="40">
        <f>IF(OR(H288="T",H288="C"),T288,IF(H288="F",(V288/(1+(V288/T288)))*Q288^(1/(1+((LOG10(V288/T288)/R288)^2))),IF(H288="S1",T288+V288,IF(H288="S2",T288+(V288/(1+(V288/#REF!))),""))))</f>
        <v>1.4E-11</v>
      </c>
      <c r="T288" s="40">
        <f>K288*EXP(-L288/T$4)*((T$4/300)^M288)</f>
        <v>1.4E-11</v>
      </c>
      <c r="U288" s="117"/>
      <c r="V288" s="116"/>
      <c r="W288" s="116"/>
      <c r="X288" s="117"/>
      <c r="Y288" s="117"/>
    </row>
    <row r="289" spans="2:25" ht="15">
      <c r="B289" s="49" t="s">
        <v>394</v>
      </c>
      <c r="C289" s="14" t="s">
        <v>402</v>
      </c>
      <c r="D289" s="100">
        <f>IF(OR(H289="T",H289="C"),S289,H289)</f>
        <v>3.5E-12</v>
      </c>
      <c r="E289" s="100">
        <f>IF(H289="C","",K289)</f>
      </c>
      <c r="F289" s="98"/>
      <c r="G289" s="99"/>
      <c r="H289" s="39" t="s">
        <v>1851</v>
      </c>
      <c r="K289" s="116">
        <v>3.5E-12</v>
      </c>
      <c r="L289" s="120"/>
      <c r="M289" s="117"/>
      <c r="N289" s="116"/>
      <c r="O289" s="117"/>
      <c r="P289" s="118"/>
      <c r="Q289" s="117"/>
      <c r="S289" s="40">
        <f>IF(OR(H289="T",H289="C"),T289,IF(H289="F",(V289/(1+(V289/T289)))*Q289^(1/(1+((LOG10(V289/T289)/R289)^2))),IF(H289="S1",T289+V289,IF(H289="S2",T289+(V289/(1+(V289/T294))),""))))</f>
        <v>3.5E-12</v>
      </c>
      <c r="T289" s="40">
        <f>K289*EXP(-L289/T$4)*((T$4/300)^M289)</f>
        <v>3.5E-12</v>
      </c>
      <c r="U289" s="117"/>
      <c r="V289" s="116"/>
      <c r="W289" s="116"/>
      <c r="X289" s="117"/>
      <c r="Y289" s="117"/>
    </row>
    <row r="290" spans="2:25" ht="15">
      <c r="B290" s="49" t="s">
        <v>397</v>
      </c>
      <c r="C290" s="14" t="s">
        <v>404</v>
      </c>
      <c r="D290" s="97" t="str">
        <f>IF(H290="P",CONCATENATE("Phot Set= ",I290,IF(J290=0,"",CONCATENATE(", qy= ",TEXT(J290,"0.0e+0")))),H290)</f>
        <v>Phot Set= NO2-06, qy= 1.5e-3</v>
      </c>
      <c r="E290" s="98"/>
      <c r="F290" s="98"/>
      <c r="G290" s="99"/>
      <c r="H290" s="39" t="s">
        <v>1856</v>
      </c>
      <c r="I290" s="49" t="s">
        <v>1857</v>
      </c>
      <c r="J290" s="18">
        <v>0.0015</v>
      </c>
      <c r="K290" s="116"/>
      <c r="L290" s="120"/>
      <c r="M290" s="117"/>
      <c r="N290" s="116"/>
      <c r="O290" s="117"/>
      <c r="P290" s="118"/>
      <c r="Q290" s="117"/>
      <c r="S290" s="40"/>
      <c r="T290" s="40"/>
      <c r="U290" s="117"/>
      <c r="V290" s="116"/>
      <c r="W290" s="116"/>
      <c r="X290" s="117"/>
      <c r="Y290" s="117"/>
    </row>
    <row r="291" spans="2:25" ht="15">
      <c r="B291" s="49" t="s">
        <v>399</v>
      </c>
      <c r="C291" s="14" t="s">
        <v>406</v>
      </c>
      <c r="D291" s="97" t="str">
        <f>IF(H291="P",CONCATENATE("Phot Set= ",I291,IF(J291=0,"",CONCATENATE(", qy= ",TEXT(J291,"0.0e+0")))),H291)</f>
        <v>Phot Set= NO2-06, qy= 1.5e-2</v>
      </c>
      <c r="E291" s="98"/>
      <c r="F291" s="98"/>
      <c r="G291" s="99"/>
      <c r="H291" s="39" t="s">
        <v>1856</v>
      </c>
      <c r="I291" s="49" t="s">
        <v>1857</v>
      </c>
      <c r="J291" s="18">
        <v>0.015</v>
      </c>
      <c r="K291" s="116"/>
      <c r="L291" s="120"/>
      <c r="M291" s="117"/>
      <c r="N291" s="116"/>
      <c r="O291" s="117"/>
      <c r="P291" s="118"/>
      <c r="Q291" s="117"/>
      <c r="S291" s="40"/>
      <c r="T291" s="40"/>
      <c r="U291" s="117"/>
      <c r="V291" s="116"/>
      <c r="W291" s="116"/>
      <c r="X291" s="117"/>
      <c r="Y291" s="117"/>
    </row>
    <row r="292" spans="2:25" ht="15">
      <c r="B292" s="49" t="s">
        <v>401</v>
      </c>
      <c r="C292" s="14" t="s">
        <v>408</v>
      </c>
      <c r="D292" s="100">
        <f>IF(OR(H292="T",H292="C"),S292,H292)</f>
        <v>1.2E-11</v>
      </c>
      <c r="E292" s="100">
        <f>IF(H292="C","",K292)</f>
      </c>
      <c r="F292" s="101">
        <f>IF(H292="C","",U292)</f>
      </c>
      <c r="G292" s="101">
        <f>IF(M292=0,"",M292)</f>
      </c>
      <c r="H292" s="39" t="s">
        <v>1851</v>
      </c>
      <c r="K292" s="116">
        <v>1.2E-11</v>
      </c>
      <c r="L292" s="120"/>
      <c r="M292" s="117"/>
      <c r="N292" s="116"/>
      <c r="O292" s="117"/>
      <c r="P292" s="118"/>
      <c r="Q292" s="117"/>
      <c r="S292" s="40">
        <f>IF(OR(H292="T",H292="C"),T292,IF(H292="F",(V292/(1+(V292/T292)))*Q292^(1/(1+((LOG10(V292/T292)/R292)^2))),IF(H292="S1",T292+V292,IF(H292="S2",T292+(V292/(1+(V292/T293))),""))))</f>
        <v>1.2E-11</v>
      </c>
      <c r="T292" s="40">
        <f>K292*EXP(-L292/T$4)*((T$4/300)^M292)</f>
        <v>1.2E-11</v>
      </c>
      <c r="U292" s="117"/>
      <c r="V292" s="116"/>
      <c r="W292" s="116"/>
      <c r="X292" s="117"/>
      <c r="Y292" s="117"/>
    </row>
    <row r="293" spans="2:25" ht="15">
      <c r="B293" s="49" t="s">
        <v>403</v>
      </c>
      <c r="C293" s="14" t="s">
        <v>410</v>
      </c>
      <c r="D293" s="97" t="str">
        <f>IF(H293="P",CONCATENATE("Phot Set= ",I293,IF(J293=0,"",CONCATENATE(", qy= ",J293))),H293)</f>
        <v>Phot Set= BALD-06, qy= 0.06</v>
      </c>
      <c r="E293" s="98"/>
      <c r="F293" s="98"/>
      <c r="G293" s="99"/>
      <c r="H293" s="39" t="s">
        <v>1856</v>
      </c>
      <c r="I293" s="49" t="s">
        <v>411</v>
      </c>
      <c r="J293" s="18">
        <v>0.06</v>
      </c>
      <c r="K293" s="116" t="s">
        <v>1861</v>
      </c>
      <c r="L293" s="120"/>
      <c r="M293" s="117"/>
      <c r="N293" s="116"/>
      <c r="O293" s="117"/>
      <c r="P293" s="118"/>
      <c r="Q293" s="117"/>
      <c r="S293" s="40">
        <f>IF(OR(H293="T",H293="C"),T293,IF(H293="F",(V293/(1+(V293/T293)))*Q293^(1/(1+((LOG10(V293/T293)/R293)^2))),IF(H293="S1",T293+V293,IF(H293="S2",T293+(V293/(1+(V293/T294))),""))))</f>
      </c>
      <c r="T293" s="116"/>
      <c r="U293" s="117"/>
      <c r="V293" s="116"/>
      <c r="W293" s="116"/>
      <c r="X293" s="117"/>
      <c r="Y293" s="117"/>
    </row>
    <row r="294" spans="2:25" ht="15">
      <c r="B294" s="49" t="s">
        <v>405</v>
      </c>
      <c r="C294" s="14" t="s">
        <v>413</v>
      </c>
      <c r="D294" s="100">
        <f>IF(OR(H294="T",H294="C"),S294,H294)</f>
        <v>2.7292419694243005E-15</v>
      </c>
      <c r="E294" s="100">
        <f>IF(H294="C","",K294)</f>
        <v>1.3448313633452946E-12</v>
      </c>
      <c r="F294" s="101">
        <f>IF(H294="C","",U294)</f>
        <v>3.6961920000000004</v>
      </c>
      <c r="G294" s="101">
        <f>IF(M294=0,"",M294)</f>
      </c>
      <c r="H294" s="39" t="s">
        <v>1859</v>
      </c>
      <c r="K294" s="116">
        <v>1.3448313633452946E-12</v>
      </c>
      <c r="L294" s="120">
        <v>1860</v>
      </c>
      <c r="M294" s="117">
        <v>0</v>
      </c>
      <c r="N294" s="116"/>
      <c r="O294" s="117"/>
      <c r="P294" s="118"/>
      <c r="Q294" s="117"/>
      <c r="S294" s="40">
        <f>IF(OR(H294="T",H294="C"),T294,IF(H294="F",(V294/(1+(V294/T294)))*Q294^(1/(1+((LOG10(V294/T294)/R294)^2))),IF(H294="S1",T294+V294,IF(H294="S2",T294+(V294/(1+(V294/#REF!))),""))))</f>
        <v>2.7292419694243005E-15</v>
      </c>
      <c r="T294" s="40">
        <f>K294*EXP(-L294/T$4)*((T$4/300)^M294)</f>
        <v>2.7292419694243005E-15</v>
      </c>
      <c r="U294" s="15">
        <f>L294*Rfac</f>
        <v>3.6961920000000004</v>
      </c>
      <c r="V294" s="116"/>
      <c r="W294" s="116"/>
      <c r="X294" s="117"/>
      <c r="Y294" s="117"/>
    </row>
    <row r="295" spans="1:25" ht="15">
      <c r="A295" s="13" t="s">
        <v>414</v>
      </c>
      <c r="D295" s="100"/>
      <c r="E295" s="100"/>
      <c r="F295" s="101"/>
      <c r="G295" s="101"/>
      <c r="K295" s="116"/>
      <c r="M295" s="117"/>
      <c r="N295" s="116"/>
      <c r="O295" s="117"/>
      <c r="P295" s="118"/>
      <c r="Q295" s="117"/>
      <c r="S295" s="40"/>
      <c r="T295" s="40"/>
      <c r="U295" s="117"/>
      <c r="V295" s="116"/>
      <c r="W295" s="116"/>
      <c r="X295" s="117"/>
      <c r="Y295" s="117"/>
    </row>
    <row r="296" spans="2:25" ht="63.75">
      <c r="B296" s="49" t="s">
        <v>407</v>
      </c>
      <c r="C296" s="14" t="s">
        <v>1550</v>
      </c>
      <c r="D296" s="100">
        <f>IF(OR(H296="T",H296="C"),S296,H296)</f>
        <v>7.403E-11</v>
      </c>
      <c r="E296" s="100">
        <f>IF(H296="C","",K296)</f>
      </c>
      <c r="F296" s="101"/>
      <c r="G296" s="101"/>
      <c r="H296" s="39" t="s">
        <v>1851</v>
      </c>
      <c r="K296" s="116">
        <v>7.403E-11</v>
      </c>
      <c r="M296" s="117"/>
      <c r="N296" s="116"/>
      <c r="O296" s="117"/>
      <c r="P296" s="118"/>
      <c r="Q296" s="117"/>
      <c r="S296" s="40">
        <f>IF(OR(H296="T",H296="C"),T296,IF(H296="F",(V296/(1+(V296/T296)))*Q296^(1/(1+((LOG10(V296/T296)/R296)^2))),IF(H296="S1",T296+V296,IF(H296="S2",T296+(V296/(1+(V296/T297))),""))))</f>
        <v>7.403E-11</v>
      </c>
      <c r="T296" s="40">
        <f>K296*EXP(-L296/T$4)*((T$4/300)^M296)</f>
        <v>7.403E-11</v>
      </c>
      <c r="U296" s="117"/>
      <c r="V296" s="116"/>
      <c r="W296" s="116"/>
      <c r="X296" s="117"/>
      <c r="Y296" s="117"/>
    </row>
    <row r="297" spans="2:25" ht="51">
      <c r="B297" s="49" t="s">
        <v>409</v>
      </c>
      <c r="C297" s="14" t="s">
        <v>417</v>
      </c>
      <c r="D297" s="100">
        <f>IF(OR(H297="T",H297="C"),S297,H297)</f>
        <v>9.661E-18</v>
      </c>
      <c r="E297" s="100">
        <f>IF(H297="C","",K297)</f>
      </c>
      <c r="F297" s="101"/>
      <c r="G297" s="101"/>
      <c r="H297" s="39" t="s">
        <v>1851</v>
      </c>
      <c r="K297" s="116">
        <v>9.661E-18</v>
      </c>
      <c r="M297" s="117"/>
      <c r="N297" s="116"/>
      <c r="O297" s="117"/>
      <c r="P297" s="118"/>
      <c r="Q297" s="117"/>
      <c r="S297" s="40">
        <f>IF(OR(H297="T",H297="C"),T297,IF(H297="F",(V297/(1+(V297/T297)))*Q297^(1/(1+((LOG10(V297/T297)/R297)^2))),IF(H297="S1",T297+V297,IF(H297="S2",T297+(V297/(1+(V297/#REF!))),""))))</f>
        <v>9.661E-18</v>
      </c>
      <c r="T297" s="40">
        <f>K297*EXP(-L297/T$4)*((T$4/300)^M297)</f>
        <v>9.661E-18</v>
      </c>
      <c r="U297" s="117"/>
      <c r="V297" s="116"/>
      <c r="W297" s="116"/>
      <c r="X297" s="117"/>
      <c r="Y297" s="117"/>
    </row>
    <row r="298" spans="2:25" ht="38.25">
      <c r="B298" s="49" t="s">
        <v>412</v>
      </c>
      <c r="C298" s="14" t="s">
        <v>419</v>
      </c>
      <c r="D298" s="97" t="str">
        <f>IF(H298="P",CONCATENATE("Phot Set= ",I298,IF(J298=0,"",CONCATENATE(", qy= ",TEXT(J298,"0.000")))),H298)</f>
        <v>Phot Set= AFG1</v>
      </c>
      <c r="E298" s="98"/>
      <c r="F298" s="98"/>
      <c r="G298" s="99"/>
      <c r="H298" s="39" t="s">
        <v>1856</v>
      </c>
      <c r="I298" s="49" t="s">
        <v>1524</v>
      </c>
      <c r="K298" s="116"/>
      <c r="M298" s="117"/>
      <c r="N298" s="116"/>
      <c r="O298" s="117"/>
      <c r="P298" s="118"/>
      <c r="Q298" s="117"/>
      <c r="S298" s="40"/>
      <c r="T298" s="40"/>
      <c r="U298" s="117"/>
      <c r="V298" s="116"/>
      <c r="W298" s="116"/>
      <c r="X298" s="117"/>
      <c r="Y298" s="117"/>
    </row>
    <row r="299" spans="2:25" ht="63.75">
      <c r="B299" s="49" t="s">
        <v>415</v>
      </c>
      <c r="C299" s="14" t="s">
        <v>1553</v>
      </c>
      <c r="D299" s="100">
        <f>IF(OR(H299="T",H299="C"),S299,H299)</f>
        <v>7.403E-11</v>
      </c>
      <c r="E299" s="100">
        <f>IF(H299="C","",K299)</f>
      </c>
      <c r="F299" s="101"/>
      <c r="G299" s="101"/>
      <c r="H299" s="39" t="s">
        <v>1851</v>
      </c>
      <c r="K299" s="116">
        <v>7.403E-11</v>
      </c>
      <c r="M299" s="117"/>
      <c r="N299" s="116"/>
      <c r="O299" s="117"/>
      <c r="P299" s="118"/>
      <c r="Q299" s="117"/>
      <c r="S299" s="40">
        <f>IF(OR(H299="T",H299="C"),T299,IF(H299="F",(V299/(1+(V299/T299)))*Q299^(1/(1+((LOG10(V299/T299)/R299)^2))),IF(H299="S1",T299+V299,IF(H299="S2",T299+(V299/(1+(V299/T300))),""))))</f>
        <v>7.403E-11</v>
      </c>
      <c r="T299" s="40">
        <f>K299*EXP(-L299/T$4)*((T$4/300)^M299)</f>
        <v>7.403E-11</v>
      </c>
      <c r="U299" s="117"/>
      <c r="V299" s="116"/>
      <c r="W299" s="116"/>
      <c r="X299" s="117"/>
      <c r="Y299" s="117"/>
    </row>
    <row r="300" spans="2:25" ht="51">
      <c r="B300" s="49" t="s">
        <v>416</v>
      </c>
      <c r="C300" s="14" t="s">
        <v>422</v>
      </c>
      <c r="D300" s="100">
        <f>IF(OR(H300="T",H300="C"),S300,H300)</f>
        <v>9.661E-18</v>
      </c>
      <c r="E300" s="100">
        <f>IF(H300="C","",K300)</f>
      </c>
      <c r="F300" s="101"/>
      <c r="G300" s="101"/>
      <c r="H300" s="39" t="s">
        <v>1851</v>
      </c>
      <c r="K300" s="116">
        <v>9.661E-18</v>
      </c>
      <c r="M300" s="117"/>
      <c r="N300" s="116"/>
      <c r="O300" s="117"/>
      <c r="P300" s="118"/>
      <c r="Q300" s="117"/>
      <c r="S300" s="40">
        <f>IF(OR(H300="T",H300="C"),T300,IF(H300="F",(V300/(1+(V300/T300)))*Q300^(1/(1+((LOG10(V300/T300)/R300)^2))),IF(H300="S1",T300+V300,IF(H300="S2",T300+(V300/(1+(V300/#REF!))),""))))</f>
        <v>9.661E-18</v>
      </c>
      <c r="T300" s="40">
        <f>K300*EXP(-L300/T$4)*((T$4/300)^M300)</f>
        <v>9.661E-18</v>
      </c>
      <c r="U300" s="117"/>
      <c r="V300" s="116"/>
      <c r="W300" s="116"/>
      <c r="X300" s="117"/>
      <c r="Y300" s="117"/>
    </row>
    <row r="301" spans="2:25" ht="15">
      <c r="B301" s="49" t="s">
        <v>418</v>
      </c>
      <c r="C301" s="14" t="s">
        <v>424</v>
      </c>
      <c r="D301" s="97" t="str">
        <f>IF(H301="P",CONCATENATE("Phot Set= ",I301,IF(J301=0,"",CONCATENATE(", qy= ",TEXT(J301,"0.000")))),H301)</f>
        <v>Phot Set= AFG1</v>
      </c>
      <c r="E301" s="98"/>
      <c r="F301" s="98"/>
      <c r="G301" s="99"/>
      <c r="H301" s="39" t="s">
        <v>1856</v>
      </c>
      <c r="I301" s="49" t="s">
        <v>1524</v>
      </c>
      <c r="K301" s="116"/>
      <c r="M301" s="117"/>
      <c r="N301" s="116"/>
      <c r="O301" s="117"/>
      <c r="P301" s="118"/>
      <c r="Q301" s="117"/>
      <c r="S301" s="40"/>
      <c r="T301" s="40"/>
      <c r="U301" s="117"/>
      <c r="V301" s="116"/>
      <c r="W301" s="116"/>
      <c r="X301" s="117"/>
      <c r="Y301" s="117"/>
    </row>
    <row r="302" spans="2:25" ht="76.5">
      <c r="B302" s="49" t="s">
        <v>420</v>
      </c>
      <c r="C302" s="14" t="s">
        <v>1554</v>
      </c>
      <c r="D302" s="100">
        <f>IF(OR(H302="T",H302="C"),S302,H302)</f>
        <v>9.352E-11</v>
      </c>
      <c r="E302" s="100">
        <f>IF(H302="C","",K302)</f>
      </c>
      <c r="F302" s="101"/>
      <c r="G302" s="101"/>
      <c r="H302" s="39" t="s">
        <v>1851</v>
      </c>
      <c r="K302" s="116">
        <v>9.352E-11</v>
      </c>
      <c r="M302" s="117"/>
      <c r="N302" s="116"/>
      <c r="O302" s="117"/>
      <c r="P302" s="118"/>
      <c r="Q302" s="117"/>
      <c r="S302" s="40">
        <f>IF(OR(H302="T",H302="C"),T302,IF(H302="F",(V302/(1+(V302/T302)))*Q302^(1/(1+((LOG10(V302/T302)/R302)^2))),IF(H302="S1",T302+V302,IF(H302="S2",T302+(V302/(1+(V302/T303))),""))))</f>
        <v>9.352E-11</v>
      </c>
      <c r="T302" s="40">
        <f>K302*EXP(-L302/T$4)*((T$4/300)^M302)</f>
        <v>9.352E-11</v>
      </c>
      <c r="U302" s="117"/>
      <c r="V302" s="116"/>
      <c r="W302" s="116"/>
      <c r="X302" s="117"/>
      <c r="Y302" s="117"/>
    </row>
    <row r="303" spans="2:25" ht="102">
      <c r="B303" s="49" t="s">
        <v>421</v>
      </c>
      <c r="C303" s="14" t="s">
        <v>1555</v>
      </c>
      <c r="D303" s="100">
        <f>IF(OR(H303="T",H303="C"),S303,H303)</f>
        <v>1.428E-17</v>
      </c>
      <c r="E303" s="100">
        <f>IF(H303="C","",K303)</f>
      </c>
      <c r="F303" s="101"/>
      <c r="G303" s="101"/>
      <c r="H303" s="39" t="s">
        <v>1851</v>
      </c>
      <c r="K303" s="116">
        <v>1.428E-17</v>
      </c>
      <c r="M303" s="117"/>
      <c r="N303" s="116"/>
      <c r="O303" s="117"/>
      <c r="P303" s="118"/>
      <c r="Q303" s="117"/>
      <c r="S303" s="40">
        <f>IF(OR(H303="T",H303="C"),T303,IF(H303="F",(V303/(1+(V303/T303)))*Q303^(1/(1+((LOG10(V303/T303)/R303)^2))),IF(H303="S1",T303+V303,IF(H303="S2",T303+(V303/(1+(V303/#REF!))),""))))</f>
        <v>1.428E-17</v>
      </c>
      <c r="T303" s="40">
        <f>K303*EXP(-L303/T$4)*((T$4/300)^M303)</f>
        <v>1.428E-17</v>
      </c>
      <c r="U303" s="117"/>
      <c r="V303" s="116"/>
      <c r="W303" s="116"/>
      <c r="X303" s="117"/>
      <c r="Y303" s="117"/>
    </row>
    <row r="304" spans="1:25" ht="15">
      <c r="A304" s="13" t="s">
        <v>1058</v>
      </c>
      <c r="D304" s="100"/>
      <c r="E304" s="100"/>
      <c r="F304" s="101"/>
      <c r="G304" s="101"/>
      <c r="K304" s="116"/>
      <c r="M304" s="117"/>
      <c r="N304" s="116"/>
      <c r="O304" s="117"/>
      <c r="P304" s="118"/>
      <c r="Q304" s="117"/>
      <c r="S304" s="40"/>
      <c r="T304" s="40"/>
      <c r="U304" s="15"/>
      <c r="V304" s="116"/>
      <c r="W304" s="116"/>
      <c r="X304" s="117"/>
      <c r="Y304" s="117"/>
    </row>
    <row r="305" spans="2:25" ht="51">
      <c r="B305" s="49" t="s">
        <v>423</v>
      </c>
      <c r="C305" s="14" t="s">
        <v>428</v>
      </c>
      <c r="D305" s="100">
        <f>IF(OR(H305="T",H305="C"),S305,H305)</f>
        <v>2.8392022514930432E-11</v>
      </c>
      <c r="E305" s="100">
        <f>IF(H305="C","",K305)</f>
        <v>8E-12</v>
      </c>
      <c r="F305" s="101">
        <f>IF(H305="C","",U305)</f>
        <v>-0.755136</v>
      </c>
      <c r="G305" s="101">
        <f>IF(M305=0,"",M305)</f>
      </c>
      <c r="H305" s="39" t="s">
        <v>1859</v>
      </c>
      <c r="K305" s="116">
        <v>8E-12</v>
      </c>
      <c r="L305" s="41">
        <v>-380</v>
      </c>
      <c r="M305" s="117">
        <v>0</v>
      </c>
      <c r="N305" s="116"/>
      <c r="O305" s="117"/>
      <c r="P305" s="118"/>
      <c r="Q305" s="117"/>
      <c r="S305" s="40">
        <f aca="true" t="shared" si="20" ref="S305:S322">IF(OR(H305="T",H305="C"),T305,IF(H305="F",(V305/(1+(V305/T305)))*Q305^(1/(1+((LOG10(V305/T305)/R305)^2))),IF(H305="S1",T305+V305,IF(H305="S2",T305+(V305/(1+(V305/T306))),""))))</f>
        <v>2.8392022514930432E-11</v>
      </c>
      <c r="T305" s="40">
        <f>K305*EXP(-L305/T$4)*((T$4/300)^M305)</f>
        <v>2.8392022514930432E-11</v>
      </c>
      <c r="U305" s="15">
        <f>L305*Rfac</f>
        <v>-0.755136</v>
      </c>
      <c r="V305" s="116"/>
      <c r="W305" s="116"/>
      <c r="X305" s="117"/>
      <c r="Y305" s="117"/>
    </row>
    <row r="306" spans="2:25" ht="51">
      <c r="B306" s="49" t="s">
        <v>425</v>
      </c>
      <c r="C306" s="14" t="s">
        <v>430</v>
      </c>
      <c r="D306" s="100">
        <f>IF(OR(H306="T",H306="C"),S306,H306)</f>
        <v>1.2766347517763227E-18</v>
      </c>
      <c r="E306" s="100">
        <f>IF(H306="C","",K306)</f>
        <v>1.4E-15</v>
      </c>
      <c r="F306" s="101">
        <f>IF(H306="C","",U306)</f>
        <v>4.17312</v>
      </c>
      <c r="G306" s="101">
        <f>IF(M306=0,"",M306)</f>
      </c>
      <c r="H306" s="39" t="s">
        <v>1859</v>
      </c>
      <c r="K306" s="116">
        <v>1.4E-15</v>
      </c>
      <c r="L306" s="41">
        <v>2100</v>
      </c>
      <c r="M306" s="117">
        <v>0</v>
      </c>
      <c r="N306" s="116"/>
      <c r="O306" s="117"/>
      <c r="P306" s="118"/>
      <c r="Q306" s="117"/>
      <c r="S306" s="40">
        <f t="shared" si="20"/>
        <v>1.2766347517763227E-18</v>
      </c>
      <c r="T306" s="40">
        <f>K306*EXP(-L306/T$4)*((T$4/300)^M306)</f>
        <v>1.2766347517763227E-18</v>
      </c>
      <c r="U306" s="15">
        <f>L306*Rfac</f>
        <v>4.17312</v>
      </c>
      <c r="V306" s="116"/>
      <c r="W306" s="116"/>
      <c r="X306" s="117"/>
      <c r="Y306" s="117"/>
    </row>
    <row r="307" spans="2:25" ht="38.25">
      <c r="B307" s="49" t="s">
        <v>426</v>
      </c>
      <c r="C307" s="14" t="s">
        <v>432</v>
      </c>
      <c r="D307" s="100">
        <f>IF(OR(H307="T",H307="C"),S307,H307)</f>
        <v>3.5367930097353497E-15</v>
      </c>
      <c r="E307" s="100">
        <f>IF(H307="C","",K307)</f>
        <v>1.5E-12</v>
      </c>
      <c r="F307" s="101">
        <f>IF(H307="C","",U307)</f>
        <v>3.606768</v>
      </c>
      <c r="G307" s="101">
        <f>IF(M307=0,"",M307)</f>
      </c>
      <c r="H307" s="39" t="s">
        <v>1859</v>
      </c>
      <c r="K307" s="116">
        <v>1.5E-12</v>
      </c>
      <c r="L307" s="41">
        <v>1815</v>
      </c>
      <c r="M307" s="117">
        <v>0</v>
      </c>
      <c r="N307" s="116"/>
      <c r="O307" s="117"/>
      <c r="P307" s="118"/>
      <c r="Q307" s="117"/>
      <c r="S307" s="40">
        <f t="shared" si="20"/>
        <v>3.5367930097353497E-15</v>
      </c>
      <c r="T307" s="40">
        <f>K307*EXP(-L307/T$4)*((T$4/300)^M307)</f>
        <v>3.5367930097353497E-15</v>
      </c>
      <c r="U307" s="15">
        <f>L307*Rfac</f>
        <v>3.606768</v>
      </c>
      <c r="V307" s="116"/>
      <c r="W307" s="116"/>
      <c r="X307" s="117"/>
      <c r="Y307" s="117"/>
    </row>
    <row r="308" spans="2:25" ht="15">
      <c r="B308" s="49" t="s">
        <v>427</v>
      </c>
      <c r="C308" s="14" t="s">
        <v>434</v>
      </c>
      <c r="D308" s="100">
        <f>IF(OR(H308="T",H308="C"),S308,H308)</f>
        <v>6.34E-12</v>
      </c>
      <c r="E308" s="100">
        <f>IF(H308="C","",K308)</f>
      </c>
      <c r="F308" s="101">
        <f>IF(H308="C","",U308)</f>
      </c>
      <c r="G308" s="101">
        <f>IF(M308=0,"",M308)</f>
      </c>
      <c r="H308" s="39" t="s">
        <v>1851</v>
      </c>
      <c r="K308" s="116">
        <v>6.34E-12</v>
      </c>
      <c r="M308" s="117"/>
      <c r="N308" s="116"/>
      <c r="O308" s="117"/>
      <c r="P308" s="118"/>
      <c r="Q308" s="117"/>
      <c r="S308" s="40">
        <f t="shared" si="20"/>
        <v>6.34E-12</v>
      </c>
      <c r="T308" s="40">
        <f>K308*EXP(-L308/T$4)*((T$4/300)^M308)</f>
        <v>6.34E-12</v>
      </c>
      <c r="U308" s="117"/>
      <c r="V308" s="116"/>
      <c r="W308" s="116"/>
      <c r="X308" s="117"/>
      <c r="Y308" s="117"/>
    </row>
    <row r="309" spans="2:25" ht="51">
      <c r="B309" s="49" t="s">
        <v>429</v>
      </c>
      <c r="C309" s="14" t="s">
        <v>436</v>
      </c>
      <c r="D309" s="97" t="str">
        <f>IF(H309="P",CONCATENATE("Phot Set= ",I309,IF(J309=0,"",CONCATENATE(", qy= ",TEXT(J309,"0.0e+0")))),H309)</f>
        <v>Phot Set= MACR-06</v>
      </c>
      <c r="E309" s="98"/>
      <c r="F309" s="98"/>
      <c r="G309" s="99"/>
      <c r="H309" s="39" t="s">
        <v>1856</v>
      </c>
      <c r="I309" s="49" t="s">
        <v>437</v>
      </c>
      <c r="J309" s="131"/>
      <c r="K309" s="116"/>
      <c r="M309" s="117"/>
      <c r="N309" s="116"/>
      <c r="O309" s="117"/>
      <c r="P309" s="118"/>
      <c r="Q309" s="117"/>
      <c r="S309" s="40">
        <f>IF(OR(H309="T",H309="C"),T309,IF(H309="F",(V309/(1+(V309/T309)))*Q309^(1/(1+((LOG10(V309/T309)/R309)^2))),IF(H309="S1",T309+V309,IF(H309="S2",T309+(V309/(1+(V309/#REF!))),""))))</f>
      </c>
      <c r="T309" s="116"/>
      <c r="U309" s="117"/>
      <c r="V309" s="116"/>
      <c r="W309" s="116"/>
      <c r="X309" s="117"/>
      <c r="Y309" s="117"/>
    </row>
    <row r="310" spans="2:25" ht="51">
      <c r="B310" s="49" t="s">
        <v>431</v>
      </c>
      <c r="C310" s="14" t="s">
        <v>1556</v>
      </c>
      <c r="D310" s="100">
        <f>IF(OR(H310="T",H310="C"),S310,H310)</f>
        <v>1.9862723384821383E-11</v>
      </c>
      <c r="E310" s="100">
        <f>IF(H310="C","",K310)</f>
        <v>2.6E-12</v>
      </c>
      <c r="F310" s="101">
        <f>IF(H310="C","",U310)</f>
        <v>-1.2121920000000002</v>
      </c>
      <c r="G310" s="101">
        <f>IF(M310=0,"",M310)</f>
      </c>
      <c r="H310" s="39" t="s">
        <v>1859</v>
      </c>
      <c r="K310" s="116">
        <v>2.6E-12</v>
      </c>
      <c r="L310" s="41">
        <v>-610</v>
      </c>
      <c r="M310" s="117">
        <v>0</v>
      </c>
      <c r="N310" s="116"/>
      <c r="O310" s="117"/>
      <c r="P310" s="118"/>
      <c r="Q310" s="117"/>
      <c r="S310" s="40">
        <f t="shared" si="20"/>
        <v>1.9862723384821383E-11</v>
      </c>
      <c r="T310" s="40">
        <f>K310*EXP(-L310/T$4)*((T$4/300)^M310)</f>
        <v>1.9862723384821383E-11</v>
      </c>
      <c r="U310" s="15">
        <f>L310*Rfac</f>
        <v>-1.2121920000000002</v>
      </c>
      <c r="V310" s="116"/>
      <c r="W310" s="116"/>
      <c r="X310" s="117"/>
      <c r="Y310" s="117"/>
    </row>
    <row r="311" spans="2:25" ht="63.75">
      <c r="B311" s="49" t="s">
        <v>433</v>
      </c>
      <c r="C311" s="14" t="s">
        <v>636</v>
      </c>
      <c r="D311" s="100">
        <f>IF(OR(H311="T",H311="C"),S311,H311)</f>
        <v>5.3627783492511995E-18</v>
      </c>
      <c r="E311" s="100">
        <f>IF(H311="C","",K311)</f>
        <v>8.5E-16</v>
      </c>
      <c r="F311" s="101">
        <f>IF(H311="C","",U311)</f>
        <v>3.02</v>
      </c>
      <c r="G311" s="101">
        <f>IF(M311=0,"",M311)</f>
      </c>
      <c r="H311" s="39" t="s">
        <v>1859</v>
      </c>
      <c r="K311" s="116">
        <v>8.5E-16</v>
      </c>
      <c r="L311" s="41">
        <v>1519.7262479871174</v>
      </c>
      <c r="M311" s="117">
        <v>0</v>
      </c>
      <c r="N311" s="116"/>
      <c r="O311" s="117"/>
      <c r="P311" s="118"/>
      <c r="Q311" s="117"/>
      <c r="S311" s="40">
        <f t="shared" si="20"/>
        <v>5.3627783492511995E-18</v>
      </c>
      <c r="T311" s="40">
        <f>K311*EXP(-L311/T$4)*((T$4/300)^M311)</f>
        <v>5.3627783492511995E-18</v>
      </c>
      <c r="U311" s="15">
        <f>L311*Rfac</f>
        <v>3.02</v>
      </c>
      <c r="V311" s="116"/>
      <c r="W311" s="116"/>
      <c r="X311" s="117"/>
      <c r="Y311" s="117"/>
    </row>
    <row r="312" spans="2:25" ht="15">
      <c r="B312" s="49" t="s">
        <v>435</v>
      </c>
      <c r="C312" s="14" t="s">
        <v>638</v>
      </c>
      <c r="D312" s="97" t="str">
        <f>IF(H312="X","(Slow)",H312)</f>
        <v>(Slow)</v>
      </c>
      <c r="E312" s="98"/>
      <c r="F312" s="98"/>
      <c r="G312" s="99"/>
      <c r="H312" s="39" t="s">
        <v>639</v>
      </c>
      <c r="K312" s="116"/>
      <c r="L312" s="120"/>
      <c r="M312" s="117"/>
      <c r="N312" s="116"/>
      <c r="O312" s="117"/>
      <c r="P312" s="118"/>
      <c r="Q312" s="117"/>
      <c r="S312" s="40">
        <f t="shared" si="20"/>
      </c>
      <c r="T312" s="116"/>
      <c r="U312" s="117"/>
      <c r="V312" s="116"/>
      <c r="W312" s="116"/>
      <c r="X312" s="117"/>
      <c r="Y312" s="117"/>
    </row>
    <row r="313" spans="2:25" ht="25.5">
      <c r="B313" s="49" t="s">
        <v>438</v>
      </c>
      <c r="C313" s="14" t="s">
        <v>641</v>
      </c>
      <c r="D313" s="100">
        <f>IF(OR(H313="T",H313="C"),S313,H313)</f>
        <v>4.32E-12</v>
      </c>
      <c r="E313" s="100">
        <f>IF(H313="C","",K313)</f>
      </c>
      <c r="F313" s="101">
        <f>IF(H313="C","",U313)</f>
      </c>
      <c r="G313" s="101">
        <f>IF(M313=0,"",M313)</f>
      </c>
      <c r="H313" s="39" t="s">
        <v>1851</v>
      </c>
      <c r="K313" s="116">
        <v>4.32E-12</v>
      </c>
      <c r="L313" s="120"/>
      <c r="M313" s="117"/>
      <c r="N313" s="116"/>
      <c r="O313" s="117"/>
      <c r="P313" s="118"/>
      <c r="Q313" s="117"/>
      <c r="S313" s="40">
        <f t="shared" si="20"/>
        <v>4.32E-12</v>
      </c>
      <c r="T313" s="40">
        <f>K313*EXP(-L313/T$4)*((T$4/300)^M313)</f>
        <v>4.32E-12</v>
      </c>
      <c r="U313" s="117"/>
      <c r="V313" s="116"/>
      <c r="W313" s="116"/>
      <c r="X313" s="117"/>
      <c r="Y313" s="117"/>
    </row>
    <row r="314" spans="2:25" ht="25.5">
      <c r="B314" s="49" t="s">
        <v>439</v>
      </c>
      <c r="C314" s="14" t="s">
        <v>643</v>
      </c>
      <c r="D314" s="97" t="str">
        <f>IF(H314="P",CONCATENATE("Phot Set= ",I314,IF(J314=0,"",CONCATENATE(", qy= ",TEXT(J314,"0.0e+0")))),H314)</f>
        <v>Phot Set= MVK-06</v>
      </c>
      <c r="E314" s="98"/>
      <c r="F314" s="98"/>
      <c r="G314" s="99"/>
      <c r="H314" s="39" t="s">
        <v>1856</v>
      </c>
      <c r="I314" s="49" t="s">
        <v>644</v>
      </c>
      <c r="K314" s="116"/>
      <c r="L314" s="120"/>
      <c r="M314" s="117"/>
      <c r="N314" s="116"/>
      <c r="O314" s="117"/>
      <c r="P314" s="118"/>
      <c r="Q314" s="117"/>
      <c r="S314" s="40">
        <f>IF(OR(H314="T",H314="C"),T314,IF(H314="F",(V314/(1+(V314/T314)))*Q314^(1/(1+((LOG10(V314/T314)/R314)^2))),IF(H314="S1",T314+V314,IF(H314="S2",T314+(V314/(1+(V314/#REF!))),""))))</f>
      </c>
      <c r="T314" s="116"/>
      <c r="U314" s="117"/>
      <c r="V314" s="116"/>
      <c r="W314" s="116"/>
      <c r="X314" s="117"/>
      <c r="Y314" s="117"/>
    </row>
    <row r="315" spans="2:25" ht="76.5">
      <c r="B315" s="49" t="s">
        <v>637</v>
      </c>
      <c r="C315" s="14" t="s">
        <v>646</v>
      </c>
      <c r="D315" s="100">
        <f>IF(OR(H315="T",H315="C"),S315,H315)</f>
        <v>6.19E-11</v>
      </c>
      <c r="E315" s="100">
        <f>IF(H315="C","",K315)</f>
      </c>
      <c r="F315" s="101">
        <f>IF(H315="C","",U315)</f>
      </c>
      <c r="G315" s="101">
        <f>IF(M315=0,"",M315)</f>
      </c>
      <c r="H315" s="39" t="s">
        <v>1851</v>
      </c>
      <c r="K315" s="116">
        <v>6.19E-11</v>
      </c>
      <c r="L315" s="120"/>
      <c r="M315" s="117"/>
      <c r="N315" s="116"/>
      <c r="O315" s="117"/>
      <c r="P315" s="118"/>
      <c r="Q315" s="117"/>
      <c r="S315" s="40">
        <f t="shared" si="20"/>
        <v>6.19E-11</v>
      </c>
      <c r="T315" s="40">
        <f>K315*EXP(-L315/T$4)*((T$4/300)^M315)</f>
        <v>6.19E-11</v>
      </c>
      <c r="U315" s="117"/>
      <c r="V315" s="116"/>
      <c r="W315" s="116"/>
      <c r="X315" s="117"/>
      <c r="Y315" s="117"/>
    </row>
    <row r="316" spans="2:25" ht="76.5">
      <c r="B316" s="49" t="s">
        <v>640</v>
      </c>
      <c r="C316" s="14" t="s">
        <v>648</v>
      </c>
      <c r="D316" s="100">
        <f>IF(OR(H316="T",H316="C"),S316,H316)</f>
        <v>4.18E-18</v>
      </c>
      <c r="E316" s="100">
        <f>IF(H316="C","",K316)</f>
      </c>
      <c r="F316" s="101">
        <f>IF(H316="C","",U316)</f>
      </c>
      <c r="G316" s="101">
        <f>IF(M316=0,"",M316)</f>
      </c>
      <c r="H316" s="39" t="s">
        <v>1851</v>
      </c>
      <c r="K316" s="116">
        <v>4.18E-18</v>
      </c>
      <c r="L316" s="120"/>
      <c r="M316" s="117"/>
      <c r="N316" s="116"/>
      <c r="O316" s="117"/>
      <c r="P316" s="118"/>
      <c r="Q316" s="117"/>
      <c r="S316" s="40">
        <f t="shared" si="20"/>
        <v>4.18E-18</v>
      </c>
      <c r="T316" s="40">
        <f>K316*EXP(-L316/T$4)*((T$4/300)^M316)</f>
        <v>4.18E-18</v>
      </c>
      <c r="U316" s="117"/>
      <c r="V316" s="116"/>
      <c r="W316" s="116"/>
      <c r="X316" s="117"/>
      <c r="Y316" s="117"/>
    </row>
    <row r="317" spans="2:25" ht="63.75">
      <c r="B317" s="49" t="s">
        <v>642</v>
      </c>
      <c r="C317" s="14" t="s">
        <v>650</v>
      </c>
      <c r="D317" s="100">
        <f>IF(OR(H317="T",H317="C"),S317,H317)</f>
        <v>1E-13</v>
      </c>
      <c r="E317" s="100">
        <f>IF(H317="C","",K317)</f>
      </c>
      <c r="F317" s="101">
        <f>IF(H317="C","",U317)</f>
      </c>
      <c r="G317" s="101">
        <f>IF(M317=0,"",M317)</f>
      </c>
      <c r="H317" s="39" t="s">
        <v>1851</v>
      </c>
      <c r="K317" s="116">
        <v>1E-13</v>
      </c>
      <c r="L317" s="120"/>
      <c r="M317" s="117"/>
      <c r="N317" s="116"/>
      <c r="O317" s="117"/>
      <c r="P317" s="118"/>
      <c r="Q317" s="117"/>
      <c r="S317" s="40">
        <f t="shared" si="20"/>
        <v>1E-13</v>
      </c>
      <c r="T317" s="40">
        <f>K317*EXP(-L317/T$4)*((T$4/300)^M317)</f>
        <v>1E-13</v>
      </c>
      <c r="U317" s="117"/>
      <c r="V317" s="116"/>
      <c r="W317" s="116"/>
      <c r="X317" s="117"/>
      <c r="Y317" s="117"/>
    </row>
    <row r="318" spans="2:25" ht="38.25">
      <c r="B318" s="49" t="s">
        <v>645</v>
      </c>
      <c r="C318" s="14" t="s">
        <v>652</v>
      </c>
      <c r="D318" s="97" t="str">
        <f>IF(H318="P",CONCATENATE("Phot Set= ",I318,IF(J318=0,"",CONCATENATE(", qy= ",TEXT(J318,"0.0e+0")))),H318)</f>
        <v>Phot Set= MACR-06</v>
      </c>
      <c r="E318" s="98"/>
      <c r="F318" s="98"/>
      <c r="G318" s="99"/>
      <c r="H318" s="39" t="s">
        <v>1856</v>
      </c>
      <c r="I318" s="49" t="s">
        <v>437</v>
      </c>
      <c r="K318" s="116"/>
      <c r="L318" s="120"/>
      <c r="M318" s="117"/>
      <c r="N318" s="116"/>
      <c r="O318" s="117"/>
      <c r="P318" s="118"/>
      <c r="Q318" s="117"/>
      <c r="S318" s="40">
        <f t="shared" si="20"/>
      </c>
      <c r="T318" s="116"/>
      <c r="U318" s="117"/>
      <c r="V318" s="116"/>
      <c r="W318" s="116"/>
      <c r="X318" s="117"/>
      <c r="Y318" s="117"/>
    </row>
    <row r="319" spans="1:25" ht="15">
      <c r="A319" s="13" t="s">
        <v>653</v>
      </c>
      <c r="D319" s="95"/>
      <c r="E319" s="95"/>
      <c r="F319" s="96"/>
      <c r="G319" s="96"/>
      <c r="J319" s="38"/>
      <c r="K319" s="109"/>
      <c r="L319" s="110"/>
      <c r="M319" s="111"/>
      <c r="N319" s="112"/>
      <c r="O319" s="111"/>
      <c r="P319" s="113"/>
      <c r="Q319" s="111"/>
      <c r="S319" s="40">
        <f t="shared" si="20"/>
      </c>
      <c r="T319" s="109"/>
      <c r="U319" s="111"/>
      <c r="V319" s="112"/>
      <c r="W319" s="112"/>
      <c r="X319" s="111"/>
      <c r="Y319" s="111"/>
    </row>
    <row r="320" spans="2:25" ht="89.25">
      <c r="B320" s="49" t="s">
        <v>647</v>
      </c>
      <c r="C320" s="14" t="s">
        <v>655</v>
      </c>
      <c r="D320" s="100">
        <f>IF(OR(H320="T",H320="C"),S320,H320)</f>
        <v>1.5460832801838823E-11</v>
      </c>
      <c r="E320" s="100">
        <f>IF(H320="C","",K320)</f>
      </c>
      <c r="F320" s="101">
        <f>IF(H320="C","",U320)</f>
      </c>
      <c r="G320" s="101">
        <f>IF(M320=0,"",M320)</f>
      </c>
      <c r="H320" s="39" t="s">
        <v>1851</v>
      </c>
      <c r="K320" s="116">
        <v>1.5460832801838823E-11</v>
      </c>
      <c r="L320" s="120"/>
      <c r="M320" s="117"/>
      <c r="N320" s="116"/>
      <c r="O320" s="117"/>
      <c r="P320" s="118"/>
      <c r="Q320" s="117"/>
      <c r="S320" s="40">
        <f t="shared" si="20"/>
        <v>1.5460832801838823E-11</v>
      </c>
      <c r="T320" s="40">
        <f>K320*EXP(-L320/T$4)*((T$4/300)^M320)</f>
        <v>1.5460832801838823E-11</v>
      </c>
      <c r="U320" s="117"/>
      <c r="V320" s="116"/>
      <c r="W320" s="116"/>
      <c r="X320" s="117"/>
      <c r="Y320" s="117"/>
    </row>
    <row r="321" spans="2:25" ht="63.75">
      <c r="B321" s="49" t="s">
        <v>649</v>
      </c>
      <c r="C321" s="14" t="s">
        <v>657</v>
      </c>
      <c r="D321" s="97" t="str">
        <f>IF(H321="P",CONCATENATE("Phot Set= ",I321,IF(J321=0,"",CONCATENATE(", qy= ",TEXT(J321,"0.00e+0")))),H321)</f>
        <v>Phot Set= MEK-06, qy= 4.86e-3</v>
      </c>
      <c r="E321" s="98"/>
      <c r="F321" s="98"/>
      <c r="G321" s="99"/>
      <c r="H321" s="39" t="s">
        <v>1856</v>
      </c>
      <c r="I321" s="49" t="s">
        <v>357</v>
      </c>
      <c r="J321" s="18">
        <v>0.004860000000000001</v>
      </c>
      <c r="K321" s="116" t="s">
        <v>1861</v>
      </c>
      <c r="L321" s="120"/>
      <c r="M321" s="117"/>
      <c r="N321" s="116"/>
      <c r="O321" s="117"/>
      <c r="P321" s="118"/>
      <c r="Q321" s="117"/>
      <c r="S321" s="40">
        <f>IF(OR(H321="T",H321="C"),T321,IF(H321="F",(V321/(1+(V321/T321)))*Q321^(1/(1+((LOG10(V321/T321)/R321)^2))),IF(H321="S1",T321+V321,IF(H321="S2",T321+(V321/(1+(V321/#REF!))),""))))</f>
      </c>
      <c r="T321" s="116"/>
      <c r="U321" s="117"/>
      <c r="V321" s="116"/>
      <c r="W321" s="116"/>
      <c r="X321" s="117"/>
      <c r="Y321" s="117"/>
    </row>
    <row r="322" spans="2:25" ht="102">
      <c r="B322" s="49" t="s">
        <v>651</v>
      </c>
      <c r="C322" s="14" t="s">
        <v>659</v>
      </c>
      <c r="D322" s="100">
        <f>IF(OR(H322="T",H322="C"),S322,H322)</f>
        <v>7.202388714220032E-12</v>
      </c>
      <c r="E322" s="100">
        <f>IF(H322="C","",K322)</f>
      </c>
      <c r="F322" s="101">
        <f>IF(H322="C","",U322)</f>
      </c>
      <c r="G322" s="101">
        <f>IF(M322=0,"",M322)</f>
      </c>
      <c r="H322" s="39" t="s">
        <v>1851</v>
      </c>
      <c r="K322" s="116">
        <v>7.202388714220032E-12</v>
      </c>
      <c r="L322" s="120"/>
      <c r="M322" s="117"/>
      <c r="N322" s="116"/>
      <c r="O322" s="117"/>
      <c r="P322" s="118"/>
      <c r="Q322" s="117"/>
      <c r="S322" s="40">
        <f t="shared" si="20"/>
        <v>7.202388714220032E-12</v>
      </c>
      <c r="T322" s="40">
        <f>K322*EXP(-L322/T$4)*((T$4/300)^M322)</f>
        <v>7.202388714220032E-12</v>
      </c>
      <c r="U322" s="117"/>
      <c r="V322" s="116"/>
      <c r="W322" s="116"/>
      <c r="X322" s="117"/>
      <c r="Y322" s="117"/>
    </row>
    <row r="323" spans="2:25" ht="89.25">
      <c r="B323" s="49" t="s">
        <v>654</v>
      </c>
      <c r="C323" s="14" t="s">
        <v>661</v>
      </c>
      <c r="D323" s="97" t="str">
        <f>IF(H323="P",CONCATENATE("Phot Set= ",I323,IF(J323=0,"",CONCATENATE(", qy= ",TEXT(J323,"0.0e+0")))),H323)</f>
        <v>Phot Set= IC3ONO2</v>
      </c>
      <c r="E323" s="98"/>
      <c r="F323" s="98"/>
      <c r="G323" s="99"/>
      <c r="H323" s="39" t="s">
        <v>1856</v>
      </c>
      <c r="I323" s="49" t="s">
        <v>662</v>
      </c>
      <c r="K323" s="116" t="s">
        <v>1861</v>
      </c>
      <c r="L323" s="120"/>
      <c r="M323" s="117"/>
      <c r="N323" s="116"/>
      <c r="O323" s="117"/>
      <c r="P323" s="118"/>
      <c r="Q323" s="117"/>
      <c r="S323" s="40">
        <f>IF(OR(H323="T",H323="C"),T323,IF(H323="F",(V323/(1+(V323/T323)))*Q323^(1/(1+((LOG10(V323/T323)/R323)^2))),IF(H323="S1",T323+V323,IF(H323="S2",T323+(V323/(1+(V323/#REF!))),""))))</f>
      </c>
      <c r="T323" s="116"/>
      <c r="U323" s="117"/>
      <c r="V323" s="116"/>
      <c r="W323" s="116"/>
      <c r="X323" s="117"/>
      <c r="Y323" s="117"/>
    </row>
    <row r="324" spans="1:25" ht="12.75">
      <c r="A324" s="13" t="s">
        <v>1557</v>
      </c>
      <c r="D324" s="105"/>
      <c r="E324" s="106"/>
      <c r="F324" s="107"/>
      <c r="G324" s="107"/>
      <c r="J324" s="123"/>
      <c r="K324" s="123"/>
      <c r="L324" s="125"/>
      <c r="M324" s="126"/>
      <c r="N324" s="123"/>
      <c r="O324" s="126"/>
      <c r="P324" s="127"/>
      <c r="Q324" s="126"/>
      <c r="R324" s="124"/>
      <c r="S324" s="40">
        <f>IF(OR(H324="T",H324="C"),T324,IF(H324="F",(V324/(1+(V324/T324)))*Q324^(1/(1+((LOG10(V324/T324)/R324)^2))),IF(H324="S1",T324+V324,IF(H324="S2",T324+(V324/(1+(V324/T260))),""))))</f>
      </c>
      <c r="T324" s="128"/>
      <c r="U324" s="126"/>
      <c r="V324" s="129"/>
      <c r="W324" s="130"/>
      <c r="X324" s="126"/>
      <c r="Y324" s="126"/>
    </row>
    <row r="325" spans="2:25" ht="15">
      <c r="B325" s="49" t="s">
        <v>656</v>
      </c>
      <c r="C325" s="14" t="s">
        <v>336</v>
      </c>
      <c r="D325" s="97" t="str">
        <f>IF(H325="S",CONCATENATE("Same k as rxn ",I325),H325)</f>
        <v>Same k as rxn BP08</v>
      </c>
      <c r="E325" s="98"/>
      <c r="F325" s="98"/>
      <c r="G325" s="101">
        <f>IF(M325=0,"",M325)</f>
      </c>
      <c r="H325" s="39" t="s">
        <v>56</v>
      </c>
      <c r="I325" s="49" t="s">
        <v>328</v>
      </c>
      <c r="K325" s="116">
        <v>4.4E-12</v>
      </c>
      <c r="L325" s="120">
        <v>-365</v>
      </c>
      <c r="M325" s="117">
        <v>0</v>
      </c>
      <c r="N325" s="116"/>
      <c r="O325" s="117"/>
      <c r="P325" s="118"/>
      <c r="Q325" s="117"/>
      <c r="S325" s="40">
        <f>IF(OR(H325="T",H325="C"),T325,IF(H325="F",(V325/(1+(V325/T325)))*Q325^(1/(1+((LOG10(V325/T325)/R325)^2))),IF(H325="S1",T325+V325,IF(H325="S2",T325+(V325/(1+(V325/T326))),""))))</f>
      </c>
      <c r="T325" s="40">
        <f>K325*EXP(-L325/T$4)*((T$4/300)^M325)</f>
        <v>1.4854029980508722E-11</v>
      </c>
      <c r="U325" s="15">
        <f>L325*Rfac</f>
        <v>-0.7253280000000001</v>
      </c>
      <c r="V325" s="116"/>
      <c r="W325" s="116"/>
      <c r="X325" s="117"/>
      <c r="Y325" s="117"/>
    </row>
    <row r="326" spans="2:25" ht="15">
      <c r="B326" s="49" t="s">
        <v>658</v>
      </c>
      <c r="C326" s="14" t="s">
        <v>338</v>
      </c>
      <c r="D326" s="97" t="str">
        <f>IF(H326="P",CONCATENATE("Phot Set= ",I326,IF(J326=0,"",CONCATENATE(", qy= ",TEXT(J326,"0.0e+0")))),H326)</f>
        <v>Phot Set= HOCCHO</v>
      </c>
      <c r="E326" s="98"/>
      <c r="F326" s="98"/>
      <c r="G326" s="99"/>
      <c r="H326" s="39" t="s">
        <v>1856</v>
      </c>
      <c r="I326" s="49" t="s">
        <v>1485</v>
      </c>
      <c r="K326" s="116" t="s">
        <v>1861</v>
      </c>
      <c r="L326" s="120"/>
      <c r="M326" s="117"/>
      <c r="N326" s="116"/>
      <c r="O326" s="117"/>
      <c r="P326" s="118"/>
      <c r="Q326" s="117"/>
      <c r="S326" s="40">
        <f>IF(OR(H326="T",H326="C"),T326,IF(H326="F",(V326/(1+(V326/T326)))*Q326^(1/(1+((LOG10(V326/T326)/R326)^2))),IF(H326="S1",T326+V326,IF(H326="S2",T326+(V326/(1+(V326/T327))),""))))</f>
      </c>
      <c r="T326" s="116"/>
      <c r="U326" s="117"/>
      <c r="V326" s="116"/>
      <c r="W326" s="116"/>
      <c r="X326" s="117"/>
      <c r="Y326" s="117"/>
    </row>
    <row r="327" spans="2:25" ht="15">
      <c r="B327" s="49" t="s">
        <v>660</v>
      </c>
      <c r="C327" s="14" t="s">
        <v>340</v>
      </c>
      <c r="D327" s="97" t="str">
        <f>IF(H327="S",CONCATENATE("Same k as rxn ",I327),H327)</f>
        <v>Same k as rxn BP10</v>
      </c>
      <c r="E327" s="98"/>
      <c r="F327" s="98"/>
      <c r="G327" s="101">
        <f>IF(M327=0,"",M327)</f>
      </c>
      <c r="H327" s="39" t="s">
        <v>56</v>
      </c>
      <c r="I327" s="49" t="s">
        <v>333</v>
      </c>
      <c r="K327" s="116">
        <v>1.4E-12</v>
      </c>
      <c r="L327" s="120">
        <v>1860</v>
      </c>
      <c r="M327" s="117">
        <v>0</v>
      </c>
      <c r="N327" s="116"/>
      <c r="O327" s="117"/>
      <c r="P327" s="118"/>
      <c r="Q327" s="117"/>
      <c r="S327" s="40">
        <f>IF(OR(H327="T",H327="C"),T327,IF(H327="F",(V327/(1+(V327/T327)))*Q327^(1/(1+((LOG10(V327/T327)/R327)^2))),IF(H327="S1",T327+V327,IF(H327="S2",T327+(V327/(1+(V327/#REF!))),""))))</f>
      </c>
      <c r="T327" s="40">
        <f>K327*EXP(-L327/T$4)*((T$4/300)^M327)</f>
        <v>2.841202890814028E-15</v>
      </c>
      <c r="U327" s="15">
        <f>L327*Rfac</f>
        <v>3.6961920000000004</v>
      </c>
      <c r="V327" s="116"/>
      <c r="W327" s="116"/>
      <c r="X327" s="117"/>
      <c r="Y327" s="117"/>
    </row>
    <row r="328" spans="2:25" ht="51">
      <c r="B328" s="49" t="s">
        <v>1558</v>
      </c>
      <c r="C328" s="14" t="s">
        <v>1559</v>
      </c>
      <c r="D328" s="100">
        <f>IF(OR(H328="T",H328="C"),S328,H328)</f>
        <v>1.99E-11</v>
      </c>
      <c r="E328" s="100">
        <f>IF(H328="C","",K328)</f>
      </c>
      <c r="F328" s="101">
        <f>IF(H328="C","",U328)</f>
      </c>
      <c r="G328" s="101"/>
      <c r="H328" s="39" t="s">
        <v>1851</v>
      </c>
      <c r="K328" s="116">
        <v>1.99E-11</v>
      </c>
      <c r="M328" s="117"/>
      <c r="N328" s="116"/>
      <c r="O328" s="117"/>
      <c r="P328" s="118"/>
      <c r="Q328" s="117"/>
      <c r="S328" s="40">
        <f>IF(OR(H328="T",H328="C"),T328,IF(H328="F",(V328/(1+(V328/T328)))*Q328^(1/(1+((LOG10(V328/T328)/R328)^2))),IF(H328="S1",T328+V328,IF(H328="S2",T328+(V328/(1+(V328/T574))),""))))</f>
        <v>1.99E-11</v>
      </c>
      <c r="T328" s="40">
        <f>K328*EXP(-L328/T$4)*((T$4/300)^M328)</f>
        <v>1.99E-11</v>
      </c>
      <c r="U328" s="15">
        <f>L328*Rfac</f>
        <v>0</v>
      </c>
      <c r="V328" s="116"/>
      <c r="W328" s="116"/>
      <c r="X328" s="117"/>
      <c r="Y328" s="117"/>
    </row>
    <row r="329" spans="2:25" ht="38.25">
      <c r="B329" s="49" t="s">
        <v>1560</v>
      </c>
      <c r="C329" s="14" t="s">
        <v>1561</v>
      </c>
      <c r="D329" s="100">
        <f>IF(OR(H329="T",H329="C"),S329,H329)</f>
        <v>3.0653015266736613E-19</v>
      </c>
      <c r="E329" s="100">
        <f>IF(H329="C","",K329)</f>
        <v>1.4E-15</v>
      </c>
      <c r="F329" s="101">
        <f>IF(H329="C","",U329)</f>
        <v>5.0236416</v>
      </c>
      <c r="G329" s="101"/>
      <c r="H329" s="39" t="s">
        <v>1859</v>
      </c>
      <c r="K329" s="116">
        <v>1.4E-15</v>
      </c>
      <c r="L329" s="41">
        <v>2528</v>
      </c>
      <c r="M329" s="117"/>
      <c r="N329" s="116"/>
      <c r="O329" s="117"/>
      <c r="P329" s="118"/>
      <c r="Q329" s="117"/>
      <c r="S329" s="40">
        <f>IF(OR(H329="T",H329="C"),T329,IF(H329="F",(V329/(1+(V329/T329)))*Q329^(1/(1+((LOG10(V329/T329)/R329)^2))),IF(H329="S1",T329+V329,IF(H329="S2",T329+(V329/(1+(V329/T575))),""))))</f>
        <v>3.0653015266736613E-19</v>
      </c>
      <c r="T329" s="40">
        <f>K329*EXP(-L329/T$4)*((T$4/300)^M329)</f>
        <v>3.0653015266736613E-19</v>
      </c>
      <c r="U329" s="15">
        <f>L329*Rfac</f>
        <v>5.0236416</v>
      </c>
      <c r="V329" s="116"/>
      <c r="W329" s="116"/>
      <c r="X329" s="117"/>
      <c r="Y329" s="117"/>
    </row>
    <row r="330" spans="2:25" ht="63.75">
      <c r="B330" s="49" t="s">
        <v>1562</v>
      </c>
      <c r="C330" s="14" t="s">
        <v>1563</v>
      </c>
      <c r="D330" s="100">
        <f>IF(OR(H330="T",H330="C"),S330,H330)</f>
        <v>1.18E-15</v>
      </c>
      <c r="E330" s="100">
        <f>IF(H330="C","",K330)</f>
      </c>
      <c r="F330" s="101">
        <f>IF(H330="C","",U330)</f>
      </c>
      <c r="G330" s="101"/>
      <c r="H330" s="39" t="s">
        <v>1851</v>
      </c>
      <c r="K330" s="116">
        <v>1.18E-15</v>
      </c>
      <c r="M330" s="117"/>
      <c r="N330" s="116"/>
      <c r="O330" s="117"/>
      <c r="P330" s="118"/>
      <c r="Q330" s="117"/>
      <c r="S330" s="40">
        <f>IF(OR(H330="T",H330="C"),T330,IF(H330="F",(V330/(1+(V330/T330)))*Q330^(1/(1+((LOG10(V330/T330)/R330)^2))),IF(H330="S1",T330+V330,IF(H330="S2",T330+(V330/(1+(V330/#REF!))),""))))</f>
        <v>1.18E-15</v>
      </c>
      <c r="T330" s="40">
        <f>K330*EXP(-L330/T$4)*((T$4/300)^M330)</f>
        <v>1.18E-15</v>
      </c>
      <c r="U330" s="15">
        <f>L330*Rfac</f>
        <v>0</v>
      </c>
      <c r="V330" s="116"/>
      <c r="W330" s="116"/>
      <c r="X330" s="117"/>
      <c r="Y330" s="117"/>
    </row>
    <row r="331" spans="2:25" ht="15">
      <c r="B331" s="49" t="s">
        <v>1564</v>
      </c>
      <c r="C331" s="14" t="s">
        <v>1565</v>
      </c>
      <c r="D331" s="100">
        <f>IF(OR(H331="T",H331="C"),S331,H331)</f>
        <v>2.36670652262537E-12</v>
      </c>
      <c r="E331" s="100">
        <f>IF(H331="C","",K331)</f>
      </c>
      <c r="F331" s="101">
        <f>IF(H331="C","",U331)</f>
      </c>
      <c r="G331" s="101"/>
      <c r="H331" s="39" t="s">
        <v>1851</v>
      </c>
      <c r="K331" s="116">
        <v>2.36670652262537E-12</v>
      </c>
      <c r="M331" s="117"/>
      <c r="N331" s="116"/>
      <c r="O331" s="117"/>
      <c r="P331" s="118"/>
      <c r="Q331" s="117"/>
      <c r="S331" s="40">
        <f>IF(OR(H331="T",H331="C"),T331,IF(H331="F",(V331/(1+(V331/T331)))*Q331^(1/(1+((LOG10(V331/T331)/R331)^2))),IF(H331="S1",T331+V331,IF(H331="S2",T331+(V331/(1+(V331/T576))),""))))</f>
        <v>2.36670652262537E-12</v>
      </c>
      <c r="T331" s="40">
        <f>K331*EXP(-L331/T$4)*((T$4/300)^M331)</f>
        <v>2.36670652262537E-12</v>
      </c>
      <c r="U331" s="15">
        <f>L331*Rfac</f>
        <v>0</v>
      </c>
      <c r="V331" s="116"/>
      <c r="W331" s="116"/>
      <c r="X331" s="117"/>
      <c r="Y331" s="117"/>
    </row>
    <row r="332" spans="2:25" ht="51">
      <c r="B332" s="49" t="s">
        <v>1566</v>
      </c>
      <c r="C332" s="14" t="s">
        <v>1567</v>
      </c>
      <c r="D332" s="97" t="str">
        <f>IF(H332="P",CONCATENATE("Phot Set= ",I332,IF(J332=0,"",CONCATENATE(", qy= ",TEXT(J332,"0.0e+0")))),H332)</f>
        <v>Phot Set= ACRO-09</v>
      </c>
      <c r="E332" s="98"/>
      <c r="F332" s="98"/>
      <c r="G332" s="99"/>
      <c r="H332" s="39" t="s">
        <v>1856</v>
      </c>
      <c r="I332" s="49" t="s">
        <v>1768</v>
      </c>
      <c r="K332" s="116"/>
      <c r="M332" s="117"/>
      <c r="N332" s="116"/>
      <c r="O332" s="117"/>
      <c r="P332" s="118"/>
      <c r="Q332" s="117"/>
      <c r="S332" s="40"/>
      <c r="T332" s="40"/>
      <c r="U332" s="15"/>
      <c r="V332" s="116"/>
      <c r="W332" s="116"/>
      <c r="X332" s="117"/>
      <c r="Y332" s="117"/>
    </row>
    <row r="333" spans="2:25" ht="25.5">
      <c r="B333" s="49" t="s">
        <v>1771</v>
      </c>
      <c r="C333" s="14" t="s">
        <v>1050</v>
      </c>
      <c r="D333" s="95">
        <f>IF(OR(H333="T",H333="C"),S333,H333)</f>
        <v>5.28E-12</v>
      </c>
      <c r="E333" s="95">
        <f>IF(H333="C","",K333)</f>
      </c>
      <c r="F333" s="96">
        <f>IF(H333="C","",U333)</f>
      </c>
      <c r="G333" s="96"/>
      <c r="H333" s="39" t="s">
        <v>1851</v>
      </c>
      <c r="K333" s="116">
        <v>5.28E-12</v>
      </c>
      <c r="M333" s="117"/>
      <c r="N333" s="116"/>
      <c r="O333" s="117"/>
      <c r="P333" s="118"/>
      <c r="Q333" s="117"/>
      <c r="S333" s="40">
        <f>IF(OR(H333="T",H333="C"),T333,IF(H333="F",(V333/(1+(V333/T333)))*Q333^(1/(1+((LOG10(V333/T333)/R333)^2))),IF(H333="S1",T333+V333,IF(H333="S2",T333+(V333/(1+(V333/T398))),""))))</f>
        <v>5.28E-12</v>
      </c>
      <c r="T333" s="40">
        <f>K333*EXP(-L333/T$4)*((T$4/300)^M333)</f>
        <v>5.28E-12</v>
      </c>
      <c r="U333" s="15">
        <f>L333*Rfac</f>
        <v>0</v>
      </c>
      <c r="V333" s="116"/>
      <c r="W333" s="116"/>
      <c r="X333" s="117"/>
      <c r="Y333" s="117"/>
    </row>
    <row r="334" spans="2:25" ht="15">
      <c r="B334" s="49" t="s">
        <v>1772</v>
      </c>
      <c r="C334" s="14" t="s">
        <v>1769</v>
      </c>
      <c r="D334" s="98" t="str">
        <f>IF(H334="P",CONCATENATE("Phot Set= ",I334,IF(J334=0,"",CONCATENATE(", qy= ",TEXT(J334,"0.0e+0")))),H334)</f>
        <v>Phot Set= PAA</v>
      </c>
      <c r="E334" s="98"/>
      <c r="F334" s="98"/>
      <c r="G334" s="99"/>
      <c r="H334" s="39" t="s">
        <v>1856</v>
      </c>
      <c r="I334" s="49" t="s">
        <v>1775</v>
      </c>
      <c r="K334" s="116"/>
      <c r="M334" s="117"/>
      <c r="N334" s="116"/>
      <c r="O334" s="117"/>
      <c r="P334" s="118"/>
      <c r="Q334" s="117"/>
      <c r="S334" s="40"/>
      <c r="T334" s="40"/>
      <c r="U334" s="15"/>
      <c r="V334" s="116"/>
      <c r="W334" s="116"/>
      <c r="X334" s="117"/>
      <c r="Y334" s="117"/>
    </row>
    <row r="335" spans="2:25" ht="38.25">
      <c r="B335" s="49" t="s">
        <v>1773</v>
      </c>
      <c r="C335" s="14" t="s">
        <v>1051</v>
      </c>
      <c r="D335" s="95">
        <f>IF(OR(H335="T",H335="C"),S335,H335)</f>
        <v>6.42E-12</v>
      </c>
      <c r="E335" s="95">
        <f>IF(H335="C","",K335)</f>
      </c>
      <c r="F335" s="96">
        <f>IF(H335="C","",U335)</f>
      </c>
      <c r="G335" s="96"/>
      <c r="H335" s="39" t="s">
        <v>1851</v>
      </c>
      <c r="K335" s="116">
        <v>6.42E-12</v>
      </c>
      <c r="M335" s="117"/>
      <c r="N335" s="116"/>
      <c r="O335" s="117"/>
      <c r="P335" s="118"/>
      <c r="Q335" s="117"/>
      <c r="S335" s="40">
        <f>IF(OR(H335="T",H335="C"),T335,IF(H335="F",(V335/(1+(V335/T335)))*Q335^(1/(1+((LOG10(V335/T335)/R335)^2))),IF(H335="S1",T335+V335,IF(H335="S2",T335+(V335/(1+(V335/T400))),""))))</f>
        <v>6.42E-12</v>
      </c>
      <c r="T335" s="40">
        <f>K335*EXP(-L335/T$4)*((T$4/300)^M335)</f>
        <v>6.42E-12</v>
      </c>
      <c r="U335" s="15">
        <f>L335*Rfac</f>
        <v>0</v>
      </c>
      <c r="V335" s="116"/>
      <c r="W335" s="116"/>
      <c r="X335" s="117"/>
      <c r="Y335" s="117"/>
    </row>
    <row r="336" spans="2:25" ht="25.5">
      <c r="B336" s="49" t="s">
        <v>1774</v>
      </c>
      <c r="C336" s="14" t="s">
        <v>1770</v>
      </c>
      <c r="D336" s="98" t="str">
        <f>IF(H336="P",CONCATENATE("Phot Set= ",I336,IF(J336=0,"",CONCATENATE(", qy= ",TEXT(J336,"0.0e+0")))),H336)</f>
        <v>Phot Set= PAA</v>
      </c>
      <c r="E336" s="98"/>
      <c r="F336" s="98"/>
      <c r="G336" s="99"/>
      <c r="H336" s="39" t="s">
        <v>1856</v>
      </c>
      <c r="I336" s="49" t="s">
        <v>1775</v>
      </c>
      <c r="K336" s="116"/>
      <c r="M336" s="117"/>
      <c r="N336" s="116"/>
      <c r="O336" s="117"/>
      <c r="P336" s="118"/>
      <c r="Q336" s="117"/>
      <c r="S336" s="40"/>
      <c r="T336" s="40"/>
      <c r="U336" s="15"/>
      <c r="V336" s="116"/>
      <c r="W336" s="116"/>
      <c r="X336" s="117"/>
      <c r="Y336" s="117"/>
    </row>
    <row r="337" spans="1:25" ht="15">
      <c r="A337" s="13" t="s">
        <v>663</v>
      </c>
      <c r="D337" s="97"/>
      <c r="E337" s="98"/>
      <c r="F337" s="98"/>
      <c r="G337" s="99"/>
      <c r="K337" s="116"/>
      <c r="L337" s="120"/>
      <c r="M337" s="117"/>
      <c r="N337" s="116"/>
      <c r="O337" s="117"/>
      <c r="P337" s="118"/>
      <c r="Q337" s="117"/>
      <c r="S337" s="40"/>
      <c r="T337" s="116"/>
      <c r="U337" s="117"/>
      <c r="V337" s="116"/>
      <c r="W337" s="116"/>
      <c r="X337" s="117"/>
      <c r="Y337" s="117"/>
    </row>
    <row r="338" spans="2:25" ht="15">
      <c r="B338" s="49" t="s">
        <v>1570</v>
      </c>
      <c r="C338" s="14" t="s">
        <v>767</v>
      </c>
      <c r="D338" s="97" t="str">
        <f>IF(H338="QS",CONCATENATE("Same k as rxn ",I338),H338)</f>
        <v>Same k as rxn BR07</v>
      </c>
      <c r="E338" s="97"/>
      <c r="F338" s="97"/>
      <c r="G338" s="97"/>
      <c r="H338" s="39" t="s">
        <v>203</v>
      </c>
      <c r="I338" s="49" t="s">
        <v>44</v>
      </c>
      <c r="K338" s="116"/>
      <c r="L338" s="120"/>
      <c r="M338" s="117"/>
      <c r="N338" s="116"/>
      <c r="O338" s="117"/>
      <c r="P338" s="118"/>
      <c r="Q338" s="117"/>
      <c r="S338" s="40"/>
      <c r="T338" s="116"/>
      <c r="U338" s="117"/>
      <c r="V338" s="116"/>
      <c r="W338" s="116"/>
      <c r="X338" s="117"/>
      <c r="Y338" s="117"/>
    </row>
    <row r="339" spans="2:25" ht="15">
      <c r="B339" s="49" t="s">
        <v>1571</v>
      </c>
      <c r="C339" s="14" t="s">
        <v>769</v>
      </c>
      <c r="D339" s="97" t="str">
        <f aca="true" t="shared" si="21" ref="D339:D402">IF(H339="QS",CONCATENATE("Same k as rxn ",I339),H339)</f>
        <v>Same k as rxn BR08</v>
      </c>
      <c r="E339" s="97"/>
      <c r="F339" s="97"/>
      <c r="G339" s="97"/>
      <c r="H339" s="39" t="s">
        <v>203</v>
      </c>
      <c r="I339" s="49" t="s">
        <v>46</v>
      </c>
      <c r="K339" s="116"/>
      <c r="L339" s="120"/>
      <c r="M339" s="117"/>
      <c r="N339" s="116"/>
      <c r="O339" s="117"/>
      <c r="P339" s="118"/>
      <c r="Q339" s="117"/>
      <c r="S339" s="40"/>
      <c r="T339" s="116"/>
      <c r="U339" s="117"/>
      <c r="V339" s="116"/>
      <c r="W339" s="116"/>
      <c r="X339" s="117"/>
      <c r="Y339" s="117"/>
    </row>
    <row r="340" spans="2:25" ht="15">
      <c r="B340" s="49" t="s">
        <v>1572</v>
      </c>
      <c r="C340" s="14" t="s">
        <v>771</v>
      </c>
      <c r="D340" s="97" t="str">
        <f t="shared" si="21"/>
        <v>Same k as rxn BR09</v>
      </c>
      <c r="E340" s="97"/>
      <c r="F340" s="97"/>
      <c r="G340" s="97"/>
      <c r="H340" s="39" t="s">
        <v>203</v>
      </c>
      <c r="I340" s="49" t="s">
        <v>48</v>
      </c>
      <c r="K340" s="116"/>
      <c r="L340" s="120"/>
      <c r="M340" s="117"/>
      <c r="N340" s="116"/>
      <c r="O340" s="117"/>
      <c r="P340" s="118"/>
      <c r="Q340" s="117"/>
      <c r="S340" s="40"/>
      <c r="T340" s="116"/>
      <c r="U340" s="117"/>
      <c r="V340" s="116"/>
      <c r="W340" s="116"/>
      <c r="X340" s="117"/>
      <c r="Y340" s="117"/>
    </row>
    <row r="341" spans="2:25" ht="15">
      <c r="B341" s="49" t="s">
        <v>1573</v>
      </c>
      <c r="C341" s="14" t="s">
        <v>1215</v>
      </c>
      <c r="D341" s="97" t="str">
        <f t="shared" si="21"/>
        <v>Same k as rxn BR10</v>
      </c>
      <c r="E341" s="97"/>
      <c r="F341" s="97"/>
      <c r="G341" s="97"/>
      <c r="H341" s="39" t="s">
        <v>203</v>
      </c>
      <c r="I341" s="49" t="s">
        <v>50</v>
      </c>
      <c r="K341" s="116"/>
      <c r="L341" s="120"/>
      <c r="M341" s="117"/>
      <c r="N341" s="116"/>
      <c r="O341" s="117"/>
      <c r="P341" s="118"/>
      <c r="Q341" s="117"/>
      <c r="S341" s="40"/>
      <c r="T341" s="116"/>
      <c r="U341" s="117"/>
      <c r="V341" s="116"/>
      <c r="W341" s="116"/>
      <c r="X341" s="117"/>
      <c r="Y341" s="117"/>
    </row>
    <row r="342" spans="2:25" ht="15">
      <c r="B342" s="49" t="s">
        <v>1574</v>
      </c>
      <c r="C342" s="14" t="s">
        <v>1216</v>
      </c>
      <c r="D342" s="97" t="str">
        <f t="shared" si="21"/>
        <v>Same k as rxn BR11</v>
      </c>
      <c r="E342" s="97"/>
      <c r="F342" s="97"/>
      <c r="G342" s="97"/>
      <c r="H342" s="39" t="s">
        <v>203</v>
      </c>
      <c r="I342" s="49" t="s">
        <v>52</v>
      </c>
      <c r="K342" s="116"/>
      <c r="L342" s="120"/>
      <c r="M342" s="117"/>
      <c r="N342" s="116"/>
      <c r="O342" s="117"/>
      <c r="P342" s="118"/>
      <c r="Q342" s="117"/>
      <c r="S342" s="40"/>
      <c r="T342" s="116"/>
      <c r="U342" s="117"/>
      <c r="V342" s="116"/>
      <c r="W342" s="116"/>
      <c r="X342" s="117"/>
      <c r="Y342" s="117"/>
    </row>
    <row r="343" spans="2:25" ht="25.5">
      <c r="B343" s="49" t="s">
        <v>1575</v>
      </c>
      <c r="C343" s="14" t="s">
        <v>1217</v>
      </c>
      <c r="D343" s="97" t="str">
        <f t="shared" si="21"/>
        <v>Same k as rxn BR11</v>
      </c>
      <c r="E343" s="97"/>
      <c r="F343" s="97"/>
      <c r="G343" s="97"/>
      <c r="H343" s="39" t="s">
        <v>203</v>
      </c>
      <c r="I343" s="49" t="s">
        <v>52</v>
      </c>
      <c r="K343" s="116"/>
      <c r="L343" s="120"/>
      <c r="M343" s="117"/>
      <c r="N343" s="116"/>
      <c r="O343" s="117"/>
      <c r="P343" s="118"/>
      <c r="Q343" s="117"/>
      <c r="S343" s="40"/>
      <c r="T343" s="116"/>
      <c r="U343" s="117"/>
      <c r="V343" s="116"/>
      <c r="W343" s="116"/>
      <c r="X343" s="117"/>
      <c r="Y343" s="117"/>
    </row>
    <row r="344" spans="2:25" ht="15">
      <c r="B344" s="49" t="s">
        <v>1576</v>
      </c>
      <c r="C344" s="14" t="s">
        <v>489</v>
      </c>
      <c r="D344" s="97" t="str">
        <f t="shared" si="21"/>
        <v>Same k as rxn BR25</v>
      </c>
      <c r="E344" s="97"/>
      <c r="F344" s="97"/>
      <c r="G344" s="97"/>
      <c r="H344" s="39" t="s">
        <v>203</v>
      </c>
      <c r="I344" s="49" t="s">
        <v>81</v>
      </c>
      <c r="K344" s="116"/>
      <c r="L344" s="120"/>
      <c r="M344" s="117"/>
      <c r="N344" s="116"/>
      <c r="O344" s="117"/>
      <c r="P344" s="118"/>
      <c r="Q344" s="117"/>
      <c r="S344" s="40"/>
      <c r="T344" s="116"/>
      <c r="U344" s="117"/>
      <c r="V344" s="116"/>
      <c r="W344" s="116"/>
      <c r="X344" s="117"/>
      <c r="Y344" s="117"/>
    </row>
    <row r="345" spans="2:25" ht="15">
      <c r="B345" s="49" t="s">
        <v>1577</v>
      </c>
      <c r="C345" s="14" t="s">
        <v>490</v>
      </c>
      <c r="D345" s="97" t="str">
        <f t="shared" si="21"/>
        <v>Same k as rxn BR25</v>
      </c>
      <c r="E345" s="97"/>
      <c r="F345" s="97"/>
      <c r="G345" s="97"/>
      <c r="H345" s="39" t="s">
        <v>203</v>
      </c>
      <c r="I345" s="49" t="s">
        <v>81</v>
      </c>
      <c r="K345" s="116"/>
      <c r="L345" s="120"/>
      <c r="M345" s="117"/>
      <c r="N345" s="116"/>
      <c r="O345" s="117"/>
      <c r="P345" s="118"/>
      <c r="Q345" s="117"/>
      <c r="S345" s="40"/>
      <c r="T345" s="116"/>
      <c r="U345" s="117"/>
      <c r="V345" s="116"/>
      <c r="W345" s="116"/>
      <c r="X345" s="117"/>
      <c r="Y345" s="117"/>
    </row>
    <row r="346" spans="2:25" ht="15">
      <c r="B346" s="49" t="s">
        <v>1578</v>
      </c>
      <c r="C346" s="14" t="s">
        <v>491</v>
      </c>
      <c r="D346" s="97" t="str">
        <f t="shared" si="21"/>
        <v>Same k as rxn BR25</v>
      </c>
      <c r="E346" s="97"/>
      <c r="F346" s="97"/>
      <c r="G346" s="97"/>
      <c r="H346" s="39" t="s">
        <v>203</v>
      </c>
      <c r="I346" s="49" t="s">
        <v>81</v>
      </c>
      <c r="K346" s="116"/>
      <c r="L346" s="120"/>
      <c r="M346" s="117"/>
      <c r="N346" s="116"/>
      <c r="O346" s="117"/>
      <c r="P346" s="118"/>
      <c r="Q346" s="117"/>
      <c r="S346" s="40"/>
      <c r="T346" s="116"/>
      <c r="U346" s="117"/>
      <c r="V346" s="116"/>
      <c r="W346" s="116"/>
      <c r="X346" s="117"/>
      <c r="Y346" s="117"/>
    </row>
    <row r="347" spans="2:25" ht="15">
      <c r="B347" s="49" t="s">
        <v>1579</v>
      </c>
      <c r="C347" s="14" t="s">
        <v>492</v>
      </c>
      <c r="D347" s="97" t="str">
        <f t="shared" si="21"/>
        <v>Same k as rxn BR25</v>
      </c>
      <c r="E347" s="97"/>
      <c r="F347" s="97"/>
      <c r="G347" s="97"/>
      <c r="H347" s="39" t="s">
        <v>203</v>
      </c>
      <c r="I347" s="49" t="s">
        <v>81</v>
      </c>
      <c r="K347" s="116"/>
      <c r="L347" s="120"/>
      <c r="M347" s="117"/>
      <c r="N347" s="116"/>
      <c r="O347" s="117"/>
      <c r="P347" s="118"/>
      <c r="Q347" s="117"/>
      <c r="S347" s="40"/>
      <c r="T347" s="116"/>
      <c r="U347" s="117"/>
      <c r="V347" s="116"/>
      <c r="W347" s="116"/>
      <c r="X347" s="117"/>
      <c r="Y347" s="117"/>
    </row>
    <row r="348" spans="2:25" ht="15">
      <c r="B348" s="49" t="s">
        <v>1580</v>
      </c>
      <c r="C348" s="14" t="s">
        <v>780</v>
      </c>
      <c r="D348" s="97" t="str">
        <f t="shared" si="21"/>
        <v>Same k as rxn BR07</v>
      </c>
      <c r="E348" s="97"/>
      <c r="F348" s="97"/>
      <c r="G348" s="97"/>
      <c r="H348" s="39" t="s">
        <v>203</v>
      </c>
      <c r="I348" s="49" t="s">
        <v>44</v>
      </c>
      <c r="K348" s="116"/>
      <c r="L348" s="120"/>
      <c r="M348" s="117"/>
      <c r="N348" s="116"/>
      <c r="O348" s="117"/>
      <c r="P348" s="118"/>
      <c r="Q348" s="117"/>
      <c r="S348" s="40"/>
      <c r="T348" s="116"/>
      <c r="U348" s="117"/>
      <c r="V348" s="116"/>
      <c r="W348" s="116"/>
      <c r="X348" s="117"/>
      <c r="Y348" s="117"/>
    </row>
    <row r="349" spans="2:25" ht="15">
      <c r="B349" s="49" t="s">
        <v>1581</v>
      </c>
      <c r="C349" s="14" t="s">
        <v>782</v>
      </c>
      <c r="D349" s="97" t="str">
        <f t="shared" si="21"/>
        <v>Same k as rxn BR08</v>
      </c>
      <c r="E349" s="97"/>
      <c r="F349" s="97"/>
      <c r="G349" s="97"/>
      <c r="H349" s="39" t="s">
        <v>203</v>
      </c>
      <c r="I349" s="49" t="s">
        <v>46</v>
      </c>
      <c r="K349" s="116"/>
      <c r="L349" s="120"/>
      <c r="M349" s="117"/>
      <c r="N349" s="116"/>
      <c r="O349" s="117"/>
      <c r="P349" s="118"/>
      <c r="Q349" s="117"/>
      <c r="S349" s="40"/>
      <c r="T349" s="116"/>
      <c r="U349" s="117"/>
      <c r="V349" s="116"/>
      <c r="W349" s="116"/>
      <c r="X349" s="117"/>
      <c r="Y349" s="117"/>
    </row>
    <row r="350" spans="2:25" ht="15">
      <c r="B350" s="49" t="s">
        <v>1582</v>
      </c>
      <c r="C350" s="14" t="s">
        <v>784</v>
      </c>
      <c r="D350" s="97" t="str">
        <f t="shared" si="21"/>
        <v>Same k as rxn BR09</v>
      </c>
      <c r="E350" s="97"/>
      <c r="F350" s="97"/>
      <c r="G350" s="97"/>
      <c r="H350" s="39" t="s">
        <v>203</v>
      </c>
      <c r="I350" s="49" t="s">
        <v>48</v>
      </c>
      <c r="K350" s="116"/>
      <c r="L350" s="120"/>
      <c r="M350" s="117"/>
      <c r="N350" s="116"/>
      <c r="O350" s="117"/>
      <c r="P350" s="118"/>
      <c r="Q350" s="117"/>
      <c r="S350" s="40"/>
      <c r="T350" s="116"/>
      <c r="U350" s="117"/>
      <c r="V350" s="116"/>
      <c r="W350" s="116"/>
      <c r="X350" s="117"/>
      <c r="Y350" s="117"/>
    </row>
    <row r="351" spans="2:25" ht="15">
      <c r="B351" s="49" t="s">
        <v>1583</v>
      </c>
      <c r="C351" s="14" t="s">
        <v>1218</v>
      </c>
      <c r="D351" s="97" t="str">
        <f t="shared" si="21"/>
        <v>Same k as rxn BR10</v>
      </c>
      <c r="E351" s="97"/>
      <c r="F351" s="97"/>
      <c r="G351" s="97"/>
      <c r="H351" s="39" t="s">
        <v>203</v>
      </c>
      <c r="I351" s="49" t="s">
        <v>50</v>
      </c>
      <c r="K351" s="116"/>
      <c r="L351" s="120"/>
      <c r="M351" s="117"/>
      <c r="N351" s="116"/>
      <c r="O351" s="117"/>
      <c r="P351" s="118"/>
      <c r="Q351" s="117"/>
      <c r="S351" s="40"/>
      <c r="T351" s="116"/>
      <c r="U351" s="117"/>
      <c r="V351" s="116"/>
      <c r="W351" s="116"/>
      <c r="X351" s="117"/>
      <c r="Y351" s="117"/>
    </row>
    <row r="352" spans="2:25" ht="15">
      <c r="B352" s="49" t="s">
        <v>1584</v>
      </c>
      <c r="C352" s="14" t="s">
        <v>1219</v>
      </c>
      <c r="D352" s="97" t="str">
        <f t="shared" si="21"/>
        <v>Same k as rxn BR11</v>
      </c>
      <c r="E352" s="97"/>
      <c r="F352" s="97"/>
      <c r="G352" s="97"/>
      <c r="H352" s="39" t="s">
        <v>203</v>
      </c>
      <c r="I352" s="49" t="s">
        <v>52</v>
      </c>
      <c r="K352" s="116"/>
      <c r="L352" s="120"/>
      <c r="M352" s="117"/>
      <c r="N352" s="116"/>
      <c r="O352" s="117"/>
      <c r="P352" s="118"/>
      <c r="Q352" s="117"/>
      <c r="S352" s="40"/>
      <c r="T352" s="116"/>
      <c r="U352" s="117"/>
      <c r="V352" s="116"/>
      <c r="W352" s="116"/>
      <c r="X352" s="117"/>
      <c r="Y352" s="117"/>
    </row>
    <row r="353" spans="2:25" ht="15">
      <c r="B353" s="49" t="s">
        <v>1585</v>
      </c>
      <c r="C353" s="14" t="s">
        <v>1220</v>
      </c>
      <c r="D353" s="97" t="str">
        <f t="shared" si="21"/>
        <v>Same k as rxn BR11</v>
      </c>
      <c r="E353" s="97"/>
      <c r="F353" s="97"/>
      <c r="G353" s="97"/>
      <c r="H353" s="39" t="s">
        <v>203</v>
      </c>
      <c r="I353" s="49" t="s">
        <v>52</v>
      </c>
      <c r="K353" s="116"/>
      <c r="L353" s="120"/>
      <c r="M353" s="117"/>
      <c r="N353" s="116"/>
      <c r="O353" s="117"/>
      <c r="P353" s="118"/>
      <c r="Q353" s="117"/>
      <c r="S353" s="40"/>
      <c r="T353" s="116"/>
      <c r="U353" s="117"/>
      <c r="V353" s="116"/>
      <c r="W353" s="116"/>
      <c r="X353" s="117"/>
      <c r="Y353" s="117"/>
    </row>
    <row r="354" spans="2:25" ht="15">
      <c r="B354" s="49" t="s">
        <v>1586</v>
      </c>
      <c r="C354" s="14" t="s">
        <v>493</v>
      </c>
      <c r="D354" s="97" t="str">
        <f t="shared" si="21"/>
        <v>Same k as rxn BR25</v>
      </c>
      <c r="E354" s="97"/>
      <c r="F354" s="97"/>
      <c r="G354" s="97"/>
      <c r="H354" s="39" t="s">
        <v>203</v>
      </c>
      <c r="I354" s="49" t="s">
        <v>81</v>
      </c>
      <c r="K354" s="116"/>
      <c r="L354" s="120"/>
      <c r="M354" s="117"/>
      <c r="N354" s="116"/>
      <c r="O354" s="117"/>
      <c r="P354" s="118"/>
      <c r="Q354" s="117"/>
      <c r="S354" s="40"/>
      <c r="T354" s="116"/>
      <c r="U354" s="117"/>
      <c r="V354" s="116"/>
      <c r="W354" s="116"/>
      <c r="X354" s="117"/>
      <c r="Y354" s="117"/>
    </row>
    <row r="355" spans="2:25" ht="15">
      <c r="B355" s="49" t="s">
        <v>1587</v>
      </c>
      <c r="C355" s="14" t="s">
        <v>494</v>
      </c>
      <c r="D355" s="97" t="str">
        <f t="shared" si="21"/>
        <v>Same k as rxn BR25</v>
      </c>
      <c r="E355" s="97"/>
      <c r="F355" s="97"/>
      <c r="G355" s="97"/>
      <c r="H355" s="39" t="s">
        <v>203</v>
      </c>
      <c r="I355" s="49" t="s">
        <v>81</v>
      </c>
      <c r="K355" s="116"/>
      <c r="L355" s="120"/>
      <c r="M355" s="117"/>
      <c r="N355" s="116"/>
      <c r="O355" s="117"/>
      <c r="P355" s="118"/>
      <c r="Q355" s="117"/>
      <c r="S355" s="40"/>
      <c r="T355" s="116"/>
      <c r="U355" s="117"/>
      <c r="V355" s="116"/>
      <c r="W355" s="116"/>
      <c r="X355" s="117"/>
      <c r="Y355" s="117"/>
    </row>
    <row r="356" spans="2:25" ht="15">
      <c r="B356" s="49" t="s">
        <v>1588</v>
      </c>
      <c r="C356" s="14" t="s">
        <v>495</v>
      </c>
      <c r="D356" s="97" t="str">
        <f t="shared" si="21"/>
        <v>Same k as rxn BR25</v>
      </c>
      <c r="E356" s="97"/>
      <c r="F356" s="97"/>
      <c r="G356" s="97"/>
      <c r="H356" s="39" t="s">
        <v>203</v>
      </c>
      <c r="I356" s="49" t="s">
        <v>81</v>
      </c>
      <c r="K356" s="116"/>
      <c r="L356" s="120"/>
      <c r="M356" s="117"/>
      <c r="N356" s="116"/>
      <c r="O356" s="117"/>
      <c r="P356" s="118"/>
      <c r="Q356" s="117"/>
      <c r="S356" s="40"/>
      <c r="T356" s="116"/>
      <c r="U356" s="117"/>
      <c r="V356" s="116"/>
      <c r="W356" s="116"/>
      <c r="X356" s="117"/>
      <c r="Y356" s="117"/>
    </row>
    <row r="357" spans="2:25" ht="15">
      <c r="B357" s="49" t="s">
        <v>1589</v>
      </c>
      <c r="C357" s="14" t="s">
        <v>496</v>
      </c>
      <c r="D357" s="97" t="str">
        <f t="shared" si="21"/>
        <v>Same k as rxn BR25</v>
      </c>
      <c r="E357" s="97"/>
      <c r="F357" s="97"/>
      <c r="G357" s="97"/>
      <c r="H357" s="39" t="s">
        <v>203</v>
      </c>
      <c r="I357" s="49" t="s">
        <v>81</v>
      </c>
      <c r="K357" s="116"/>
      <c r="L357" s="120"/>
      <c r="M357" s="117"/>
      <c r="N357" s="116"/>
      <c r="O357" s="117"/>
      <c r="P357" s="118"/>
      <c r="Q357" s="117"/>
      <c r="S357" s="40"/>
      <c r="T357" s="116"/>
      <c r="U357" s="117"/>
      <c r="V357" s="116"/>
      <c r="W357" s="116"/>
      <c r="X357" s="117"/>
      <c r="Y357" s="117"/>
    </row>
    <row r="358" spans="2:25" ht="15">
      <c r="B358" s="49" t="s">
        <v>1590</v>
      </c>
      <c r="C358" s="14" t="s">
        <v>793</v>
      </c>
      <c r="D358" s="97" t="str">
        <f t="shared" si="21"/>
        <v>Same k as rxn BR07</v>
      </c>
      <c r="E358" s="97"/>
      <c r="F358" s="97"/>
      <c r="G358" s="97"/>
      <c r="H358" s="39" t="s">
        <v>203</v>
      </c>
      <c r="I358" s="49" t="s">
        <v>44</v>
      </c>
      <c r="K358" s="116"/>
      <c r="L358" s="120"/>
      <c r="M358" s="117"/>
      <c r="N358" s="116"/>
      <c r="O358" s="117"/>
      <c r="P358" s="118"/>
      <c r="Q358" s="117"/>
      <c r="S358" s="40"/>
      <c r="T358" s="116"/>
      <c r="U358" s="117"/>
      <c r="V358" s="116"/>
      <c r="W358" s="116"/>
      <c r="X358" s="117"/>
      <c r="Y358" s="117"/>
    </row>
    <row r="359" spans="2:25" ht="15">
      <c r="B359" s="49" t="s">
        <v>1591</v>
      </c>
      <c r="C359" s="14" t="s">
        <v>795</v>
      </c>
      <c r="D359" s="97" t="str">
        <f t="shared" si="21"/>
        <v>Same k as rxn BR08</v>
      </c>
      <c r="E359" s="97"/>
      <c r="F359" s="97"/>
      <c r="G359" s="97"/>
      <c r="H359" s="39" t="s">
        <v>203</v>
      </c>
      <c r="I359" s="49" t="s">
        <v>46</v>
      </c>
      <c r="K359" s="116"/>
      <c r="L359" s="120"/>
      <c r="M359" s="117"/>
      <c r="N359" s="116"/>
      <c r="O359" s="117"/>
      <c r="P359" s="118"/>
      <c r="Q359" s="117"/>
      <c r="S359" s="40"/>
      <c r="T359" s="116"/>
      <c r="U359" s="117"/>
      <c r="V359" s="116"/>
      <c r="W359" s="116"/>
      <c r="X359" s="117"/>
      <c r="Y359" s="117"/>
    </row>
    <row r="360" spans="2:25" ht="15">
      <c r="B360" s="49" t="s">
        <v>1592</v>
      </c>
      <c r="C360" s="14" t="s">
        <v>797</v>
      </c>
      <c r="D360" s="97" t="str">
        <f t="shared" si="21"/>
        <v>Same k as rxn BR09</v>
      </c>
      <c r="E360" s="97"/>
      <c r="F360" s="97"/>
      <c r="G360" s="97"/>
      <c r="H360" s="39" t="s">
        <v>203</v>
      </c>
      <c r="I360" s="49" t="s">
        <v>48</v>
      </c>
      <c r="K360" s="116"/>
      <c r="L360" s="120"/>
      <c r="M360" s="117"/>
      <c r="N360" s="116"/>
      <c r="O360" s="117"/>
      <c r="P360" s="118"/>
      <c r="Q360" s="117"/>
      <c r="S360" s="40"/>
      <c r="T360" s="116"/>
      <c r="U360" s="117"/>
      <c r="V360" s="116"/>
      <c r="W360" s="116"/>
      <c r="X360" s="117"/>
      <c r="Y360" s="117"/>
    </row>
    <row r="361" spans="2:25" ht="25.5">
      <c r="B361" s="49" t="s">
        <v>1593</v>
      </c>
      <c r="C361" s="14" t="s">
        <v>1221</v>
      </c>
      <c r="D361" s="97" t="str">
        <f t="shared" si="21"/>
        <v>Same k as rxn BR10</v>
      </c>
      <c r="E361" s="97"/>
      <c r="F361" s="97"/>
      <c r="G361" s="97"/>
      <c r="H361" s="39" t="s">
        <v>203</v>
      </c>
      <c r="I361" s="49" t="s">
        <v>50</v>
      </c>
      <c r="K361" s="116"/>
      <c r="L361" s="120"/>
      <c r="M361" s="117"/>
      <c r="N361" s="116"/>
      <c r="O361" s="117"/>
      <c r="P361" s="118"/>
      <c r="Q361" s="117"/>
      <c r="S361" s="40"/>
      <c r="T361" s="116"/>
      <c r="U361" s="117"/>
      <c r="V361" s="116"/>
      <c r="W361" s="116"/>
      <c r="X361" s="117"/>
      <c r="Y361" s="117"/>
    </row>
    <row r="362" spans="2:25" ht="25.5">
      <c r="B362" s="49" t="s">
        <v>1594</v>
      </c>
      <c r="C362" s="14" t="s">
        <v>1222</v>
      </c>
      <c r="D362" s="97" t="str">
        <f t="shared" si="21"/>
        <v>Same k as rxn BR11</v>
      </c>
      <c r="E362" s="97"/>
      <c r="F362" s="97"/>
      <c r="G362" s="97"/>
      <c r="H362" s="39" t="s">
        <v>203</v>
      </c>
      <c r="I362" s="49" t="s">
        <v>52</v>
      </c>
      <c r="K362" s="116"/>
      <c r="L362" s="120"/>
      <c r="M362" s="117"/>
      <c r="N362" s="116"/>
      <c r="O362" s="117"/>
      <c r="P362" s="118"/>
      <c r="Q362" s="117"/>
      <c r="S362" s="40"/>
      <c r="T362" s="116"/>
      <c r="U362" s="117"/>
      <c r="V362" s="116"/>
      <c r="W362" s="116"/>
      <c r="X362" s="117"/>
      <c r="Y362" s="117"/>
    </row>
    <row r="363" spans="2:25" ht="25.5">
      <c r="B363" s="49" t="s">
        <v>1595</v>
      </c>
      <c r="C363" s="14" t="s">
        <v>1223</v>
      </c>
      <c r="D363" s="97" t="str">
        <f t="shared" si="21"/>
        <v>Same k as rxn BR11</v>
      </c>
      <c r="E363" s="97"/>
      <c r="F363" s="97"/>
      <c r="G363" s="97"/>
      <c r="H363" s="39" t="s">
        <v>203</v>
      </c>
      <c r="I363" s="49" t="s">
        <v>52</v>
      </c>
      <c r="K363" s="116"/>
      <c r="L363" s="120"/>
      <c r="M363" s="117"/>
      <c r="N363" s="116"/>
      <c r="O363" s="117"/>
      <c r="P363" s="118"/>
      <c r="Q363" s="117"/>
      <c r="S363" s="40"/>
      <c r="T363" s="116"/>
      <c r="U363" s="117"/>
      <c r="V363" s="116"/>
      <c r="W363" s="116"/>
      <c r="X363" s="117"/>
      <c r="Y363" s="117"/>
    </row>
    <row r="364" spans="2:25" ht="15">
      <c r="B364" s="49" t="s">
        <v>1596</v>
      </c>
      <c r="C364" s="14" t="s">
        <v>497</v>
      </c>
      <c r="D364" s="97" t="str">
        <f t="shared" si="21"/>
        <v>Same k as rxn BR25</v>
      </c>
      <c r="E364" s="97"/>
      <c r="F364" s="97"/>
      <c r="G364" s="97"/>
      <c r="H364" s="39" t="s">
        <v>203</v>
      </c>
      <c r="I364" s="49" t="s">
        <v>81</v>
      </c>
      <c r="K364" s="116"/>
      <c r="L364" s="120"/>
      <c r="M364" s="117"/>
      <c r="N364" s="116"/>
      <c r="O364" s="117"/>
      <c r="P364" s="118"/>
      <c r="Q364" s="117"/>
      <c r="S364" s="40"/>
      <c r="T364" s="116"/>
      <c r="U364" s="117"/>
      <c r="V364" s="116"/>
      <c r="W364" s="116"/>
      <c r="X364" s="117"/>
      <c r="Y364" s="117"/>
    </row>
    <row r="365" spans="2:25" ht="15">
      <c r="B365" s="49" t="s">
        <v>1597</v>
      </c>
      <c r="C365" s="14" t="s">
        <v>498</v>
      </c>
      <c r="D365" s="97" t="str">
        <f t="shared" si="21"/>
        <v>Same k as rxn BR25</v>
      </c>
      <c r="E365" s="97"/>
      <c r="F365" s="97"/>
      <c r="G365" s="97"/>
      <c r="H365" s="39" t="s">
        <v>203</v>
      </c>
      <c r="I365" s="49" t="s">
        <v>81</v>
      </c>
      <c r="K365" s="116"/>
      <c r="L365" s="120"/>
      <c r="M365" s="117"/>
      <c r="N365" s="116"/>
      <c r="O365" s="117"/>
      <c r="P365" s="118"/>
      <c r="Q365" s="117"/>
      <c r="S365" s="40"/>
      <c r="T365" s="116"/>
      <c r="U365" s="117"/>
      <c r="V365" s="116"/>
      <c r="W365" s="116"/>
      <c r="X365" s="117"/>
      <c r="Y365" s="117"/>
    </row>
    <row r="366" spans="2:25" ht="15">
      <c r="B366" s="49" t="s">
        <v>1598</v>
      </c>
      <c r="C366" s="14" t="s">
        <v>499</v>
      </c>
      <c r="D366" s="97" t="str">
        <f t="shared" si="21"/>
        <v>Same k as rxn BR25</v>
      </c>
      <c r="E366" s="97"/>
      <c r="F366" s="97"/>
      <c r="G366" s="97"/>
      <c r="H366" s="39" t="s">
        <v>203</v>
      </c>
      <c r="I366" s="49" t="s">
        <v>81</v>
      </c>
      <c r="K366" s="116"/>
      <c r="L366" s="120"/>
      <c r="M366" s="117"/>
      <c r="N366" s="116"/>
      <c r="O366" s="117"/>
      <c r="P366" s="118"/>
      <c r="Q366" s="117"/>
      <c r="S366" s="40"/>
      <c r="T366" s="116"/>
      <c r="U366" s="117"/>
      <c r="V366" s="116"/>
      <c r="W366" s="116"/>
      <c r="X366" s="117"/>
      <c r="Y366" s="117"/>
    </row>
    <row r="367" spans="2:25" ht="15">
      <c r="B367" s="49" t="s">
        <v>1599</v>
      </c>
      <c r="C367" s="14" t="s">
        <v>500</v>
      </c>
      <c r="D367" s="97" t="str">
        <f t="shared" si="21"/>
        <v>Same k as rxn BR25</v>
      </c>
      <c r="E367" s="97"/>
      <c r="F367" s="97"/>
      <c r="G367" s="97"/>
      <c r="H367" s="39" t="s">
        <v>203</v>
      </c>
      <c r="I367" s="49" t="s">
        <v>81</v>
      </c>
      <c r="K367" s="116"/>
      <c r="L367" s="120"/>
      <c r="M367" s="117"/>
      <c r="N367" s="116"/>
      <c r="O367" s="117"/>
      <c r="P367" s="118"/>
      <c r="Q367" s="117"/>
      <c r="S367" s="40"/>
      <c r="T367" s="116"/>
      <c r="U367" s="117"/>
      <c r="V367" s="116"/>
      <c r="W367" s="116"/>
      <c r="X367" s="117"/>
      <c r="Y367" s="117"/>
    </row>
    <row r="368" spans="2:25" ht="15">
      <c r="B368" s="49" t="s">
        <v>1600</v>
      </c>
      <c r="C368" s="14" t="s">
        <v>819</v>
      </c>
      <c r="D368" s="97" t="str">
        <f t="shared" si="21"/>
        <v>Same k as rxn BR07</v>
      </c>
      <c r="E368" s="97"/>
      <c r="F368" s="97"/>
      <c r="G368" s="97"/>
      <c r="H368" s="39" t="s">
        <v>203</v>
      </c>
      <c r="I368" s="49" t="s">
        <v>44</v>
      </c>
      <c r="K368" s="116"/>
      <c r="L368" s="120"/>
      <c r="M368" s="117"/>
      <c r="N368" s="116"/>
      <c r="O368" s="117"/>
      <c r="P368" s="118"/>
      <c r="Q368" s="117"/>
      <c r="S368" s="40"/>
      <c r="T368" s="116"/>
      <c r="U368" s="117"/>
      <c r="V368" s="116"/>
      <c r="W368" s="116"/>
      <c r="X368" s="117"/>
      <c r="Y368" s="117"/>
    </row>
    <row r="369" spans="2:25" ht="15">
      <c r="B369" s="49" t="s">
        <v>1601</v>
      </c>
      <c r="C369" s="14" t="s">
        <v>821</v>
      </c>
      <c r="D369" s="97" t="str">
        <f t="shared" si="21"/>
        <v>Same k as rxn BR08</v>
      </c>
      <c r="E369" s="97"/>
      <c r="F369" s="97"/>
      <c r="G369" s="97"/>
      <c r="H369" s="39" t="s">
        <v>203</v>
      </c>
      <c r="I369" s="49" t="s">
        <v>46</v>
      </c>
      <c r="K369" s="116"/>
      <c r="L369" s="120"/>
      <c r="M369" s="117"/>
      <c r="N369" s="116"/>
      <c r="O369" s="117"/>
      <c r="P369" s="118"/>
      <c r="Q369" s="117"/>
      <c r="S369" s="40"/>
      <c r="T369" s="116"/>
      <c r="U369" s="117"/>
      <c r="V369" s="116"/>
      <c r="W369" s="116"/>
      <c r="X369" s="117"/>
      <c r="Y369" s="117"/>
    </row>
    <row r="370" spans="2:25" ht="15">
      <c r="B370" s="49" t="s">
        <v>1602</v>
      </c>
      <c r="C370" s="14" t="s">
        <v>823</v>
      </c>
      <c r="D370" s="97" t="str">
        <f t="shared" si="21"/>
        <v>Same k as rxn BR09</v>
      </c>
      <c r="E370" s="97"/>
      <c r="F370" s="97"/>
      <c r="G370" s="97"/>
      <c r="H370" s="39" t="s">
        <v>203</v>
      </c>
      <c r="I370" s="49" t="s">
        <v>48</v>
      </c>
      <c r="K370" s="116"/>
      <c r="L370" s="120"/>
      <c r="M370" s="117"/>
      <c r="N370" s="116"/>
      <c r="O370" s="117"/>
      <c r="P370" s="118"/>
      <c r="Q370" s="117"/>
      <c r="S370" s="40"/>
      <c r="T370" s="116"/>
      <c r="U370" s="117"/>
      <c r="V370" s="116"/>
      <c r="W370" s="116"/>
      <c r="X370" s="117"/>
      <c r="Y370" s="117"/>
    </row>
    <row r="371" spans="2:25" ht="25.5">
      <c r="B371" s="49" t="s">
        <v>1603</v>
      </c>
      <c r="C371" s="14" t="s">
        <v>1224</v>
      </c>
      <c r="D371" s="97" t="str">
        <f t="shared" si="21"/>
        <v>Same k as rxn BR10</v>
      </c>
      <c r="E371" s="97"/>
      <c r="F371" s="97"/>
      <c r="G371" s="97"/>
      <c r="H371" s="39" t="s">
        <v>203</v>
      </c>
      <c r="I371" s="49" t="s">
        <v>50</v>
      </c>
      <c r="K371" s="116"/>
      <c r="L371" s="120"/>
      <c r="M371" s="117"/>
      <c r="N371" s="116"/>
      <c r="O371" s="117"/>
      <c r="P371" s="118"/>
      <c r="Q371" s="117"/>
      <c r="S371" s="40"/>
      <c r="T371" s="116"/>
      <c r="U371" s="117"/>
      <c r="V371" s="116"/>
      <c r="W371" s="116"/>
      <c r="X371" s="117"/>
      <c r="Y371" s="117"/>
    </row>
    <row r="372" spans="2:25" ht="25.5">
      <c r="B372" s="49" t="s">
        <v>1604</v>
      </c>
      <c r="C372" s="14" t="s">
        <v>1225</v>
      </c>
      <c r="D372" s="97" t="str">
        <f t="shared" si="21"/>
        <v>Same k as rxn BR11</v>
      </c>
      <c r="E372" s="97"/>
      <c r="F372" s="97"/>
      <c r="G372" s="97"/>
      <c r="H372" s="39" t="s">
        <v>203</v>
      </c>
      <c r="I372" s="49" t="s">
        <v>52</v>
      </c>
      <c r="K372" s="116"/>
      <c r="L372" s="120"/>
      <c r="M372" s="117"/>
      <c r="N372" s="116"/>
      <c r="O372" s="117"/>
      <c r="P372" s="118"/>
      <c r="Q372" s="117"/>
      <c r="S372" s="40"/>
      <c r="T372" s="116"/>
      <c r="U372" s="117"/>
      <c r="V372" s="116"/>
      <c r="W372" s="116"/>
      <c r="X372" s="117"/>
      <c r="Y372" s="117"/>
    </row>
    <row r="373" spans="2:25" ht="25.5">
      <c r="B373" s="49" t="s">
        <v>1605</v>
      </c>
      <c r="C373" s="14" t="s">
        <v>1226</v>
      </c>
      <c r="D373" s="97" t="str">
        <f t="shared" si="21"/>
        <v>Same k as rxn BR11</v>
      </c>
      <c r="E373" s="97"/>
      <c r="F373" s="97"/>
      <c r="G373" s="97"/>
      <c r="H373" s="39" t="s">
        <v>203</v>
      </c>
      <c r="I373" s="49" t="s">
        <v>52</v>
      </c>
      <c r="K373" s="116"/>
      <c r="L373" s="120"/>
      <c r="M373" s="117"/>
      <c r="N373" s="116"/>
      <c r="O373" s="117"/>
      <c r="P373" s="118"/>
      <c r="Q373" s="117"/>
      <c r="S373" s="40"/>
      <c r="T373" s="116"/>
      <c r="U373" s="117"/>
      <c r="V373" s="116"/>
      <c r="W373" s="116"/>
      <c r="X373" s="117"/>
      <c r="Y373" s="117"/>
    </row>
    <row r="374" spans="2:25" ht="15">
      <c r="B374" s="49" t="s">
        <v>1606</v>
      </c>
      <c r="C374" s="14" t="s">
        <v>501</v>
      </c>
      <c r="D374" s="97" t="str">
        <f t="shared" si="21"/>
        <v>Same k as rxn BR25</v>
      </c>
      <c r="E374" s="97"/>
      <c r="F374" s="97"/>
      <c r="G374" s="97"/>
      <c r="H374" s="39" t="s">
        <v>203</v>
      </c>
      <c r="I374" s="49" t="s">
        <v>81</v>
      </c>
      <c r="K374" s="116"/>
      <c r="L374" s="120"/>
      <c r="M374" s="117"/>
      <c r="N374" s="116"/>
      <c r="O374" s="117"/>
      <c r="P374" s="118"/>
      <c r="Q374" s="117"/>
      <c r="S374" s="40"/>
      <c r="T374" s="116"/>
      <c r="U374" s="117"/>
      <c r="V374" s="116"/>
      <c r="W374" s="116"/>
      <c r="X374" s="117"/>
      <c r="Y374" s="117"/>
    </row>
    <row r="375" spans="2:25" ht="15">
      <c r="B375" s="49" t="s">
        <v>1607</v>
      </c>
      <c r="C375" s="14" t="s">
        <v>502</v>
      </c>
      <c r="D375" s="97" t="str">
        <f t="shared" si="21"/>
        <v>Same k as rxn BR25</v>
      </c>
      <c r="E375" s="97"/>
      <c r="F375" s="97"/>
      <c r="G375" s="97"/>
      <c r="H375" s="39" t="s">
        <v>203</v>
      </c>
      <c r="I375" s="49" t="s">
        <v>81</v>
      </c>
      <c r="K375" s="116"/>
      <c r="L375" s="120"/>
      <c r="M375" s="117"/>
      <c r="N375" s="116"/>
      <c r="O375" s="117"/>
      <c r="P375" s="118"/>
      <c r="Q375" s="117"/>
      <c r="S375" s="40"/>
      <c r="T375" s="116"/>
      <c r="U375" s="117"/>
      <c r="V375" s="116"/>
      <c r="W375" s="116"/>
      <c r="X375" s="117"/>
      <c r="Y375" s="117"/>
    </row>
    <row r="376" spans="2:25" ht="15">
      <c r="B376" s="49" t="s">
        <v>1608</v>
      </c>
      <c r="C376" s="14" t="s">
        <v>503</v>
      </c>
      <c r="D376" s="97" t="str">
        <f t="shared" si="21"/>
        <v>Same k as rxn BR25</v>
      </c>
      <c r="E376" s="97"/>
      <c r="F376" s="97"/>
      <c r="G376" s="97"/>
      <c r="H376" s="39" t="s">
        <v>203</v>
      </c>
      <c r="I376" s="49" t="s">
        <v>81</v>
      </c>
      <c r="K376" s="116"/>
      <c r="L376" s="120"/>
      <c r="M376" s="117"/>
      <c r="N376" s="116"/>
      <c r="O376" s="117"/>
      <c r="P376" s="118"/>
      <c r="Q376" s="117"/>
      <c r="S376" s="40"/>
      <c r="T376" s="116"/>
      <c r="U376" s="117"/>
      <c r="V376" s="116"/>
      <c r="W376" s="116"/>
      <c r="X376" s="117"/>
      <c r="Y376" s="117"/>
    </row>
    <row r="377" spans="2:25" ht="15">
      <c r="B377" s="49" t="s">
        <v>1609</v>
      </c>
      <c r="C377" s="14" t="s">
        <v>504</v>
      </c>
      <c r="D377" s="97" t="str">
        <f t="shared" si="21"/>
        <v>Same k as rxn BR25</v>
      </c>
      <c r="E377" s="97"/>
      <c r="F377" s="97"/>
      <c r="G377" s="97"/>
      <c r="H377" s="39" t="s">
        <v>203</v>
      </c>
      <c r="I377" s="49" t="s">
        <v>81</v>
      </c>
      <c r="K377" s="116"/>
      <c r="L377" s="120"/>
      <c r="M377" s="117"/>
      <c r="N377" s="116"/>
      <c r="O377" s="117"/>
      <c r="P377" s="118"/>
      <c r="Q377" s="117"/>
      <c r="S377" s="40"/>
      <c r="T377" s="116"/>
      <c r="U377" s="117"/>
      <c r="V377" s="116"/>
      <c r="W377" s="116"/>
      <c r="X377" s="117"/>
      <c r="Y377" s="117"/>
    </row>
    <row r="378" spans="2:25" ht="15">
      <c r="B378" s="49" t="s">
        <v>1610</v>
      </c>
      <c r="C378" s="14" t="s">
        <v>832</v>
      </c>
      <c r="D378" s="97" t="str">
        <f t="shared" si="21"/>
        <v>Same k as rxn BR07</v>
      </c>
      <c r="E378" s="97"/>
      <c r="F378" s="97"/>
      <c r="G378" s="97"/>
      <c r="H378" s="39" t="s">
        <v>203</v>
      </c>
      <c r="I378" s="49" t="s">
        <v>44</v>
      </c>
      <c r="K378" s="116"/>
      <c r="L378" s="120"/>
      <c r="M378" s="117"/>
      <c r="N378" s="116"/>
      <c r="O378" s="117"/>
      <c r="P378" s="118"/>
      <c r="Q378" s="117"/>
      <c r="S378" s="40"/>
      <c r="T378" s="116"/>
      <c r="U378" s="117"/>
      <c r="V378" s="116"/>
      <c r="W378" s="116"/>
      <c r="X378" s="117"/>
      <c r="Y378" s="117"/>
    </row>
    <row r="379" spans="2:25" ht="15">
      <c r="B379" s="49" t="s">
        <v>1611</v>
      </c>
      <c r="C379" s="14" t="s">
        <v>834</v>
      </c>
      <c r="D379" s="97" t="str">
        <f t="shared" si="21"/>
        <v>Same k as rxn BR08</v>
      </c>
      <c r="E379" s="97"/>
      <c r="F379" s="97"/>
      <c r="G379" s="97"/>
      <c r="H379" s="39" t="s">
        <v>203</v>
      </c>
      <c r="I379" s="49" t="s">
        <v>46</v>
      </c>
      <c r="K379" s="116"/>
      <c r="L379" s="120"/>
      <c r="M379" s="117"/>
      <c r="N379" s="116"/>
      <c r="O379" s="117"/>
      <c r="P379" s="118"/>
      <c r="Q379" s="117"/>
      <c r="S379" s="40"/>
      <c r="T379" s="116"/>
      <c r="U379" s="117"/>
      <c r="V379" s="116"/>
      <c r="W379" s="116"/>
      <c r="X379" s="117"/>
      <c r="Y379" s="117"/>
    </row>
    <row r="380" spans="2:25" ht="15">
      <c r="B380" s="49" t="s">
        <v>1612</v>
      </c>
      <c r="C380" s="14" t="s">
        <v>836</v>
      </c>
      <c r="D380" s="97" t="str">
        <f t="shared" si="21"/>
        <v>Same k as rxn BR09</v>
      </c>
      <c r="E380" s="97"/>
      <c r="F380" s="97"/>
      <c r="G380" s="97"/>
      <c r="H380" s="39" t="s">
        <v>203</v>
      </c>
      <c r="I380" s="49" t="s">
        <v>48</v>
      </c>
      <c r="K380" s="116"/>
      <c r="L380" s="120"/>
      <c r="M380" s="117"/>
      <c r="N380" s="116"/>
      <c r="O380" s="117"/>
      <c r="P380" s="118"/>
      <c r="Q380" s="117"/>
      <c r="S380" s="40"/>
      <c r="T380" s="116"/>
      <c r="U380" s="117"/>
      <c r="V380" s="116"/>
      <c r="W380" s="116"/>
      <c r="X380" s="117"/>
      <c r="Y380" s="117"/>
    </row>
    <row r="381" spans="2:25" ht="15">
      <c r="B381" s="49" t="s">
        <v>1613</v>
      </c>
      <c r="C381" s="14" t="s">
        <v>1227</v>
      </c>
      <c r="D381" s="97" t="str">
        <f t="shared" si="21"/>
        <v>Same k as rxn BR10</v>
      </c>
      <c r="E381" s="97"/>
      <c r="F381" s="97"/>
      <c r="G381" s="97"/>
      <c r="H381" s="39" t="s">
        <v>203</v>
      </c>
      <c r="I381" s="49" t="s">
        <v>50</v>
      </c>
      <c r="K381" s="116"/>
      <c r="L381" s="120"/>
      <c r="M381" s="117"/>
      <c r="N381" s="116"/>
      <c r="O381" s="117"/>
      <c r="P381" s="118"/>
      <c r="Q381" s="117"/>
      <c r="S381" s="40"/>
      <c r="T381" s="116"/>
      <c r="U381" s="117"/>
      <c r="V381" s="116"/>
      <c r="W381" s="116"/>
      <c r="X381" s="117"/>
      <c r="Y381" s="117"/>
    </row>
    <row r="382" spans="2:25" ht="15">
      <c r="B382" s="49" t="s">
        <v>1614</v>
      </c>
      <c r="C382" s="14" t="s">
        <v>1228</v>
      </c>
      <c r="D382" s="97" t="str">
        <f t="shared" si="21"/>
        <v>Same k as rxn BR11</v>
      </c>
      <c r="E382" s="97"/>
      <c r="F382" s="97"/>
      <c r="G382" s="97"/>
      <c r="H382" s="39" t="s">
        <v>203</v>
      </c>
      <c r="I382" s="49" t="s">
        <v>52</v>
      </c>
      <c r="K382" s="116"/>
      <c r="L382" s="120"/>
      <c r="M382" s="117"/>
      <c r="N382" s="116"/>
      <c r="O382" s="117"/>
      <c r="P382" s="118"/>
      <c r="Q382" s="117"/>
      <c r="S382" s="40"/>
      <c r="T382" s="116"/>
      <c r="U382" s="117"/>
      <c r="V382" s="116"/>
      <c r="W382" s="116"/>
      <c r="X382" s="117"/>
      <c r="Y382" s="117"/>
    </row>
    <row r="383" spans="2:25" ht="15">
      <c r="B383" s="49" t="s">
        <v>1615</v>
      </c>
      <c r="C383" s="14" t="s">
        <v>1229</v>
      </c>
      <c r="D383" s="97" t="str">
        <f t="shared" si="21"/>
        <v>Same k as rxn BR11</v>
      </c>
      <c r="E383" s="97"/>
      <c r="F383" s="97"/>
      <c r="G383" s="97"/>
      <c r="H383" s="39" t="s">
        <v>203</v>
      </c>
      <c r="I383" s="49" t="s">
        <v>52</v>
      </c>
      <c r="K383" s="116"/>
      <c r="L383" s="120"/>
      <c r="M383" s="117"/>
      <c r="N383" s="116"/>
      <c r="O383" s="117"/>
      <c r="P383" s="118"/>
      <c r="Q383" s="117"/>
      <c r="S383" s="40"/>
      <c r="T383" s="116"/>
      <c r="U383" s="117"/>
      <c r="V383" s="116"/>
      <c r="W383" s="116"/>
      <c r="X383" s="117"/>
      <c r="Y383" s="117"/>
    </row>
    <row r="384" spans="2:25" ht="15">
      <c r="B384" s="49" t="s">
        <v>1616</v>
      </c>
      <c r="C384" s="14" t="s">
        <v>505</v>
      </c>
      <c r="D384" s="97" t="str">
        <f t="shared" si="21"/>
        <v>Same k as rxn BR25</v>
      </c>
      <c r="E384" s="97"/>
      <c r="F384" s="97"/>
      <c r="G384" s="97"/>
      <c r="H384" s="39" t="s">
        <v>203</v>
      </c>
      <c r="I384" s="49" t="s">
        <v>81</v>
      </c>
      <c r="K384" s="116"/>
      <c r="L384" s="120"/>
      <c r="M384" s="117"/>
      <c r="N384" s="116"/>
      <c r="O384" s="117"/>
      <c r="P384" s="118"/>
      <c r="Q384" s="117"/>
      <c r="S384" s="40"/>
      <c r="T384" s="116"/>
      <c r="U384" s="117"/>
      <c r="V384" s="116"/>
      <c r="W384" s="116"/>
      <c r="X384" s="117"/>
      <c r="Y384" s="117"/>
    </row>
    <row r="385" spans="2:25" ht="15">
      <c r="B385" s="49" t="s">
        <v>1617</v>
      </c>
      <c r="C385" s="14" t="s">
        <v>506</v>
      </c>
      <c r="D385" s="97" t="str">
        <f t="shared" si="21"/>
        <v>Same k as rxn BR25</v>
      </c>
      <c r="E385" s="97"/>
      <c r="F385" s="97"/>
      <c r="G385" s="97"/>
      <c r="H385" s="39" t="s">
        <v>203</v>
      </c>
      <c r="I385" s="49" t="s">
        <v>81</v>
      </c>
      <c r="K385" s="116"/>
      <c r="L385" s="120"/>
      <c r="M385" s="117"/>
      <c r="N385" s="116"/>
      <c r="O385" s="117"/>
      <c r="P385" s="118"/>
      <c r="Q385" s="117"/>
      <c r="S385" s="40"/>
      <c r="T385" s="116"/>
      <c r="U385" s="117"/>
      <c r="V385" s="116"/>
      <c r="W385" s="116"/>
      <c r="X385" s="117"/>
      <c r="Y385" s="117"/>
    </row>
    <row r="386" spans="2:25" ht="15">
      <c r="B386" s="49" t="s">
        <v>1618</v>
      </c>
      <c r="C386" s="14" t="s">
        <v>507</v>
      </c>
      <c r="D386" s="97" t="str">
        <f t="shared" si="21"/>
        <v>Same k as rxn BR25</v>
      </c>
      <c r="E386" s="97"/>
      <c r="F386" s="97"/>
      <c r="G386" s="97"/>
      <c r="H386" s="39" t="s">
        <v>203</v>
      </c>
      <c r="I386" s="49" t="s">
        <v>81</v>
      </c>
      <c r="K386" s="116"/>
      <c r="L386" s="120"/>
      <c r="M386" s="117"/>
      <c r="N386" s="116"/>
      <c r="O386" s="117"/>
      <c r="P386" s="118"/>
      <c r="Q386" s="117"/>
      <c r="S386" s="40"/>
      <c r="T386" s="116"/>
      <c r="U386" s="117"/>
      <c r="V386" s="116"/>
      <c r="W386" s="116"/>
      <c r="X386" s="117"/>
      <c r="Y386" s="117"/>
    </row>
    <row r="387" spans="2:25" ht="15">
      <c r="B387" s="49" t="s">
        <v>1619</v>
      </c>
      <c r="C387" s="14" t="s">
        <v>508</v>
      </c>
      <c r="D387" s="97" t="str">
        <f t="shared" si="21"/>
        <v>Same k as rxn BR25</v>
      </c>
      <c r="E387" s="97"/>
      <c r="F387" s="97"/>
      <c r="G387" s="97"/>
      <c r="H387" s="39" t="s">
        <v>203</v>
      </c>
      <c r="I387" s="49" t="s">
        <v>81</v>
      </c>
      <c r="K387" s="116"/>
      <c r="L387" s="120"/>
      <c r="M387" s="117"/>
      <c r="N387" s="116"/>
      <c r="O387" s="117"/>
      <c r="P387" s="118"/>
      <c r="Q387" s="117"/>
      <c r="S387" s="40"/>
      <c r="T387" s="116"/>
      <c r="U387" s="117"/>
      <c r="V387" s="116"/>
      <c r="W387" s="116"/>
      <c r="X387" s="117"/>
      <c r="Y387" s="117"/>
    </row>
    <row r="388" spans="2:25" ht="15">
      <c r="B388" s="49" t="s">
        <v>1620</v>
      </c>
      <c r="C388" s="14" t="s">
        <v>865</v>
      </c>
      <c r="D388" s="97" t="str">
        <f t="shared" si="21"/>
        <v>Same k as rxn BR07</v>
      </c>
      <c r="E388" s="97"/>
      <c r="F388" s="97"/>
      <c r="G388" s="97"/>
      <c r="H388" s="39" t="s">
        <v>203</v>
      </c>
      <c r="I388" s="49" t="s">
        <v>44</v>
      </c>
      <c r="K388" s="116"/>
      <c r="L388" s="120"/>
      <c r="M388" s="117"/>
      <c r="N388" s="116"/>
      <c r="O388" s="117"/>
      <c r="P388" s="118"/>
      <c r="Q388" s="117"/>
      <c r="S388" s="40"/>
      <c r="T388" s="116"/>
      <c r="U388" s="117"/>
      <c r="V388" s="116"/>
      <c r="W388" s="116"/>
      <c r="X388" s="117"/>
      <c r="Y388" s="117"/>
    </row>
    <row r="389" spans="2:25" ht="15">
      <c r="B389" s="49" t="s">
        <v>1621</v>
      </c>
      <c r="C389" s="14" t="s">
        <v>867</v>
      </c>
      <c r="D389" s="97" t="str">
        <f t="shared" si="21"/>
        <v>Same k as rxn BR08</v>
      </c>
      <c r="E389" s="97"/>
      <c r="F389" s="97"/>
      <c r="G389" s="97"/>
      <c r="H389" s="39" t="s">
        <v>203</v>
      </c>
      <c r="I389" s="49" t="s">
        <v>46</v>
      </c>
      <c r="K389" s="116"/>
      <c r="L389" s="120"/>
      <c r="M389" s="117"/>
      <c r="N389" s="116"/>
      <c r="O389" s="117"/>
      <c r="P389" s="118"/>
      <c r="Q389" s="117"/>
      <c r="S389" s="40"/>
      <c r="T389" s="116"/>
      <c r="U389" s="117"/>
      <c r="V389" s="116"/>
      <c r="W389" s="116"/>
      <c r="X389" s="117"/>
      <c r="Y389" s="117"/>
    </row>
    <row r="390" spans="2:25" ht="15">
      <c r="B390" s="49" t="s">
        <v>1622</v>
      </c>
      <c r="C390" s="14" t="s">
        <v>869</v>
      </c>
      <c r="D390" s="97" t="str">
        <f t="shared" si="21"/>
        <v>Same k as rxn BR09</v>
      </c>
      <c r="E390" s="97"/>
      <c r="F390" s="97"/>
      <c r="G390" s="97"/>
      <c r="H390" s="39" t="s">
        <v>203</v>
      </c>
      <c r="I390" s="49" t="s">
        <v>48</v>
      </c>
      <c r="K390" s="116"/>
      <c r="L390" s="120"/>
      <c r="M390" s="117"/>
      <c r="N390" s="116"/>
      <c r="O390" s="117"/>
      <c r="P390" s="118"/>
      <c r="Q390" s="117"/>
      <c r="S390" s="40"/>
      <c r="T390" s="116"/>
      <c r="U390" s="117"/>
      <c r="V390" s="116"/>
      <c r="W390" s="116"/>
      <c r="X390" s="117"/>
      <c r="Y390" s="117"/>
    </row>
    <row r="391" spans="2:25" ht="25.5">
      <c r="B391" s="49" t="s">
        <v>1623</v>
      </c>
      <c r="C391" s="14" t="s">
        <v>1230</v>
      </c>
      <c r="D391" s="97" t="str">
        <f t="shared" si="21"/>
        <v>Same k as rxn BR10</v>
      </c>
      <c r="E391" s="97"/>
      <c r="F391" s="97"/>
      <c r="G391" s="97"/>
      <c r="H391" s="39" t="s">
        <v>203</v>
      </c>
      <c r="I391" s="49" t="s">
        <v>50</v>
      </c>
      <c r="K391" s="116"/>
      <c r="L391" s="120"/>
      <c r="M391" s="117"/>
      <c r="N391" s="116"/>
      <c r="O391" s="117"/>
      <c r="P391" s="118"/>
      <c r="Q391" s="117"/>
      <c r="S391" s="40"/>
      <c r="T391" s="116"/>
      <c r="U391" s="117"/>
      <c r="V391" s="116"/>
      <c r="W391" s="116"/>
      <c r="X391" s="117"/>
      <c r="Y391" s="117"/>
    </row>
    <row r="392" spans="2:25" ht="25.5">
      <c r="B392" s="49" t="s">
        <v>766</v>
      </c>
      <c r="C392" s="14" t="s">
        <v>1231</v>
      </c>
      <c r="D392" s="97" t="str">
        <f t="shared" si="21"/>
        <v>Same k as rxn BR11</v>
      </c>
      <c r="E392" s="97"/>
      <c r="F392" s="97"/>
      <c r="G392" s="97"/>
      <c r="H392" s="39" t="s">
        <v>203</v>
      </c>
      <c r="I392" s="49" t="s">
        <v>52</v>
      </c>
      <c r="K392" s="116"/>
      <c r="L392" s="120"/>
      <c r="M392" s="117"/>
      <c r="N392" s="116"/>
      <c r="O392" s="117"/>
      <c r="P392" s="118"/>
      <c r="Q392" s="117"/>
      <c r="S392" s="40"/>
      <c r="T392" s="116"/>
      <c r="U392" s="117"/>
      <c r="V392" s="116"/>
      <c r="W392" s="116"/>
      <c r="X392" s="117"/>
      <c r="Y392" s="117"/>
    </row>
    <row r="393" spans="2:25" ht="25.5">
      <c r="B393" s="49" t="s">
        <v>768</v>
      </c>
      <c r="C393" s="14" t="s">
        <v>1232</v>
      </c>
      <c r="D393" s="97" t="str">
        <f t="shared" si="21"/>
        <v>Same k as rxn BR11</v>
      </c>
      <c r="E393" s="97"/>
      <c r="F393" s="97"/>
      <c r="G393" s="97"/>
      <c r="H393" s="39" t="s">
        <v>203</v>
      </c>
      <c r="I393" s="49" t="s">
        <v>52</v>
      </c>
      <c r="K393" s="116"/>
      <c r="L393" s="120"/>
      <c r="M393" s="117"/>
      <c r="N393" s="116"/>
      <c r="O393" s="117"/>
      <c r="P393" s="118"/>
      <c r="Q393" s="117"/>
      <c r="S393" s="40"/>
      <c r="T393" s="116"/>
      <c r="U393" s="117"/>
      <c r="V393" s="116"/>
      <c r="W393" s="116"/>
      <c r="X393" s="117"/>
      <c r="Y393" s="117"/>
    </row>
    <row r="394" spans="2:25" ht="15">
      <c r="B394" s="49" t="s">
        <v>770</v>
      </c>
      <c r="C394" s="14" t="s">
        <v>509</v>
      </c>
      <c r="D394" s="97" t="str">
        <f t="shared" si="21"/>
        <v>Same k as rxn BR25</v>
      </c>
      <c r="E394" s="97"/>
      <c r="F394" s="97"/>
      <c r="G394" s="97"/>
      <c r="H394" s="39" t="s">
        <v>203</v>
      </c>
      <c r="I394" s="49" t="s">
        <v>81</v>
      </c>
      <c r="K394" s="116"/>
      <c r="L394" s="120"/>
      <c r="M394" s="117"/>
      <c r="N394" s="116"/>
      <c r="O394" s="117"/>
      <c r="P394" s="118"/>
      <c r="Q394" s="117"/>
      <c r="S394" s="40"/>
      <c r="T394" s="116"/>
      <c r="U394" s="117"/>
      <c r="V394" s="116"/>
      <c r="W394" s="116"/>
      <c r="X394" s="117"/>
      <c r="Y394" s="117"/>
    </row>
    <row r="395" spans="2:25" ht="15">
      <c r="B395" s="49" t="s">
        <v>772</v>
      </c>
      <c r="C395" s="14" t="s">
        <v>510</v>
      </c>
      <c r="D395" s="97" t="str">
        <f t="shared" si="21"/>
        <v>Same k as rxn BR25</v>
      </c>
      <c r="E395" s="97"/>
      <c r="F395" s="97"/>
      <c r="G395" s="97"/>
      <c r="H395" s="39" t="s">
        <v>203</v>
      </c>
      <c r="I395" s="49" t="s">
        <v>81</v>
      </c>
      <c r="K395" s="116"/>
      <c r="L395" s="120"/>
      <c r="M395" s="117"/>
      <c r="N395" s="116"/>
      <c r="O395" s="117"/>
      <c r="P395" s="118"/>
      <c r="Q395" s="117"/>
      <c r="S395" s="40"/>
      <c r="T395" s="116"/>
      <c r="U395" s="117"/>
      <c r="V395" s="116"/>
      <c r="W395" s="116"/>
      <c r="X395" s="117"/>
      <c r="Y395" s="117"/>
    </row>
    <row r="396" spans="2:25" ht="15">
      <c r="B396" s="49" t="s">
        <v>773</v>
      </c>
      <c r="C396" s="14" t="s">
        <v>511</v>
      </c>
      <c r="D396" s="97" t="str">
        <f t="shared" si="21"/>
        <v>Same k as rxn BR25</v>
      </c>
      <c r="E396" s="97"/>
      <c r="F396" s="97"/>
      <c r="G396" s="97"/>
      <c r="H396" s="39" t="s">
        <v>203</v>
      </c>
      <c r="I396" s="49" t="s">
        <v>81</v>
      </c>
      <c r="K396" s="116"/>
      <c r="L396" s="120"/>
      <c r="M396" s="117"/>
      <c r="N396" s="116"/>
      <c r="O396" s="117"/>
      <c r="P396" s="118"/>
      <c r="Q396" s="117"/>
      <c r="S396" s="40"/>
      <c r="T396" s="116"/>
      <c r="U396" s="117"/>
      <c r="V396" s="116"/>
      <c r="W396" s="116"/>
      <c r="X396" s="117"/>
      <c r="Y396" s="117"/>
    </row>
    <row r="397" spans="2:25" ht="15">
      <c r="B397" s="49" t="s">
        <v>774</v>
      </c>
      <c r="C397" s="14" t="s">
        <v>512</v>
      </c>
      <c r="D397" s="97" t="str">
        <f t="shared" si="21"/>
        <v>Same k as rxn BR25</v>
      </c>
      <c r="E397" s="97"/>
      <c r="F397" s="97"/>
      <c r="G397" s="97"/>
      <c r="H397" s="39" t="s">
        <v>203</v>
      </c>
      <c r="I397" s="49" t="s">
        <v>81</v>
      </c>
      <c r="K397" s="116"/>
      <c r="L397" s="120"/>
      <c r="M397" s="117"/>
      <c r="N397" s="116"/>
      <c r="O397" s="117"/>
      <c r="P397" s="118"/>
      <c r="Q397" s="117"/>
      <c r="S397" s="40"/>
      <c r="T397" s="116"/>
      <c r="U397" s="117"/>
      <c r="V397" s="116"/>
      <c r="W397" s="116"/>
      <c r="X397" s="117"/>
      <c r="Y397" s="117"/>
    </row>
    <row r="398" spans="2:25" ht="15">
      <c r="B398" s="49" t="s">
        <v>775</v>
      </c>
      <c r="C398" s="14" t="s">
        <v>878</v>
      </c>
      <c r="D398" s="97" t="str">
        <f t="shared" si="21"/>
        <v>Same k as rxn BR07</v>
      </c>
      <c r="E398" s="97"/>
      <c r="F398" s="97"/>
      <c r="G398" s="97"/>
      <c r="H398" s="39" t="s">
        <v>203</v>
      </c>
      <c r="I398" s="49" t="s">
        <v>44</v>
      </c>
      <c r="K398" s="116"/>
      <c r="L398" s="120"/>
      <c r="M398" s="117"/>
      <c r="N398" s="116"/>
      <c r="O398" s="117"/>
      <c r="P398" s="118"/>
      <c r="Q398" s="117"/>
      <c r="S398" s="40"/>
      <c r="T398" s="116"/>
      <c r="U398" s="117"/>
      <c r="V398" s="116"/>
      <c r="W398" s="116"/>
      <c r="X398" s="117"/>
      <c r="Y398" s="117"/>
    </row>
    <row r="399" spans="2:25" ht="15">
      <c r="B399" s="49" t="s">
        <v>776</v>
      </c>
      <c r="C399" s="14" t="s">
        <v>880</v>
      </c>
      <c r="D399" s="97" t="str">
        <f t="shared" si="21"/>
        <v>Same k as rxn BR08</v>
      </c>
      <c r="E399" s="97"/>
      <c r="F399" s="97"/>
      <c r="G399" s="97"/>
      <c r="H399" s="39" t="s">
        <v>203</v>
      </c>
      <c r="I399" s="49" t="s">
        <v>46</v>
      </c>
      <c r="K399" s="116"/>
      <c r="L399" s="120"/>
      <c r="M399" s="117"/>
      <c r="N399" s="116"/>
      <c r="O399" s="117"/>
      <c r="P399" s="118"/>
      <c r="Q399" s="117"/>
      <c r="S399" s="40"/>
      <c r="T399" s="116"/>
      <c r="U399" s="117"/>
      <c r="V399" s="116"/>
      <c r="W399" s="116"/>
      <c r="X399" s="117"/>
      <c r="Y399" s="117"/>
    </row>
    <row r="400" spans="2:25" ht="15">
      <c r="B400" s="49" t="s">
        <v>777</v>
      </c>
      <c r="C400" s="14" t="s">
        <v>882</v>
      </c>
      <c r="D400" s="97" t="str">
        <f t="shared" si="21"/>
        <v>Same k as rxn BR09</v>
      </c>
      <c r="E400" s="97"/>
      <c r="F400" s="97"/>
      <c r="G400" s="97"/>
      <c r="H400" s="39" t="s">
        <v>203</v>
      </c>
      <c r="I400" s="49" t="s">
        <v>48</v>
      </c>
      <c r="K400" s="116"/>
      <c r="L400" s="120"/>
      <c r="M400" s="117"/>
      <c r="N400" s="116"/>
      <c r="O400" s="117"/>
      <c r="P400" s="118"/>
      <c r="Q400" s="117"/>
      <c r="S400" s="40"/>
      <c r="T400" s="116"/>
      <c r="U400" s="117"/>
      <c r="V400" s="116"/>
      <c r="W400" s="116"/>
      <c r="X400" s="117"/>
      <c r="Y400" s="117"/>
    </row>
    <row r="401" spans="2:25" ht="15">
      <c r="B401" s="49" t="s">
        <v>778</v>
      </c>
      <c r="C401" s="14" t="s">
        <v>1233</v>
      </c>
      <c r="D401" s="97" t="str">
        <f t="shared" si="21"/>
        <v>Same k as rxn BR10</v>
      </c>
      <c r="E401" s="97"/>
      <c r="F401" s="97"/>
      <c r="G401" s="97"/>
      <c r="H401" s="39" t="s">
        <v>203</v>
      </c>
      <c r="I401" s="49" t="s">
        <v>50</v>
      </c>
      <c r="K401" s="116"/>
      <c r="L401" s="120"/>
      <c r="M401" s="117"/>
      <c r="N401" s="116"/>
      <c r="O401" s="117"/>
      <c r="P401" s="118"/>
      <c r="Q401" s="117"/>
      <c r="S401" s="40"/>
      <c r="T401" s="116"/>
      <c r="U401" s="117"/>
      <c r="V401" s="116"/>
      <c r="W401" s="116"/>
      <c r="X401" s="117"/>
      <c r="Y401" s="117"/>
    </row>
    <row r="402" spans="2:25" ht="15">
      <c r="B402" s="49" t="s">
        <v>779</v>
      </c>
      <c r="C402" s="14" t="s">
        <v>1234</v>
      </c>
      <c r="D402" s="97" t="str">
        <f t="shared" si="21"/>
        <v>Same k as rxn BR11</v>
      </c>
      <c r="E402" s="97"/>
      <c r="F402" s="97"/>
      <c r="G402" s="97"/>
      <c r="H402" s="39" t="s">
        <v>203</v>
      </c>
      <c r="I402" s="49" t="s">
        <v>52</v>
      </c>
      <c r="K402" s="116"/>
      <c r="L402" s="120"/>
      <c r="M402" s="117"/>
      <c r="N402" s="116"/>
      <c r="O402" s="117"/>
      <c r="P402" s="118"/>
      <c r="Q402" s="117"/>
      <c r="S402" s="40"/>
      <c r="T402" s="116"/>
      <c r="U402" s="117"/>
      <c r="V402" s="116"/>
      <c r="W402" s="116"/>
      <c r="X402" s="117"/>
      <c r="Y402" s="117"/>
    </row>
    <row r="403" spans="2:25" ht="15">
      <c r="B403" s="49" t="s">
        <v>781</v>
      </c>
      <c r="C403" s="14" t="s">
        <v>1235</v>
      </c>
      <c r="D403" s="97" t="str">
        <f aca="true" t="shared" si="22" ref="D403:D466">IF(H403="QS",CONCATENATE("Same k as rxn ",I403),H403)</f>
        <v>Same k as rxn BR11</v>
      </c>
      <c r="E403" s="97"/>
      <c r="F403" s="97"/>
      <c r="G403" s="97"/>
      <c r="H403" s="39" t="s">
        <v>203</v>
      </c>
      <c r="I403" s="49" t="s">
        <v>52</v>
      </c>
      <c r="K403" s="116"/>
      <c r="L403" s="120"/>
      <c r="M403" s="117"/>
      <c r="N403" s="116"/>
      <c r="O403" s="117"/>
      <c r="P403" s="118"/>
      <c r="Q403" s="117"/>
      <c r="S403" s="40"/>
      <c r="T403" s="116"/>
      <c r="U403" s="117"/>
      <c r="V403" s="116"/>
      <c r="W403" s="116"/>
      <c r="X403" s="117"/>
      <c r="Y403" s="117"/>
    </row>
    <row r="404" spans="2:25" ht="15">
      <c r="B404" s="49" t="s">
        <v>783</v>
      </c>
      <c r="C404" s="14" t="s">
        <v>513</v>
      </c>
      <c r="D404" s="97" t="str">
        <f t="shared" si="22"/>
        <v>Same k as rxn BR25</v>
      </c>
      <c r="E404" s="97"/>
      <c r="F404" s="97"/>
      <c r="G404" s="97"/>
      <c r="H404" s="39" t="s">
        <v>203</v>
      </c>
      <c r="I404" s="49" t="s">
        <v>81</v>
      </c>
      <c r="K404" s="116"/>
      <c r="L404" s="120"/>
      <c r="M404" s="117"/>
      <c r="N404" s="116"/>
      <c r="O404" s="117"/>
      <c r="P404" s="118"/>
      <c r="Q404" s="117"/>
      <c r="S404" s="40"/>
      <c r="T404" s="116"/>
      <c r="U404" s="117"/>
      <c r="V404" s="116"/>
      <c r="W404" s="116"/>
      <c r="X404" s="117"/>
      <c r="Y404" s="117"/>
    </row>
    <row r="405" spans="2:25" ht="15">
      <c r="B405" s="49" t="s">
        <v>785</v>
      </c>
      <c r="C405" s="14" t="s">
        <v>514</v>
      </c>
      <c r="D405" s="97" t="str">
        <f t="shared" si="22"/>
        <v>Same k as rxn BR25</v>
      </c>
      <c r="E405" s="97"/>
      <c r="F405" s="97"/>
      <c r="G405" s="97"/>
      <c r="H405" s="39" t="s">
        <v>203</v>
      </c>
      <c r="I405" s="49" t="s">
        <v>81</v>
      </c>
      <c r="K405" s="116"/>
      <c r="L405" s="120"/>
      <c r="M405" s="117"/>
      <c r="N405" s="116"/>
      <c r="O405" s="117"/>
      <c r="P405" s="118"/>
      <c r="Q405" s="117"/>
      <c r="S405" s="40"/>
      <c r="T405" s="116"/>
      <c r="U405" s="117"/>
      <c r="V405" s="116"/>
      <c r="W405" s="116"/>
      <c r="X405" s="117"/>
      <c r="Y405" s="117"/>
    </row>
    <row r="406" spans="2:25" ht="15">
      <c r="B406" s="49" t="s">
        <v>786</v>
      </c>
      <c r="C406" s="14" t="s">
        <v>515</v>
      </c>
      <c r="D406" s="97" t="str">
        <f t="shared" si="22"/>
        <v>Same k as rxn BR25</v>
      </c>
      <c r="E406" s="97"/>
      <c r="F406" s="97"/>
      <c r="G406" s="97"/>
      <c r="H406" s="39" t="s">
        <v>203</v>
      </c>
      <c r="I406" s="49" t="s">
        <v>81</v>
      </c>
      <c r="K406" s="116"/>
      <c r="L406" s="120"/>
      <c r="M406" s="117"/>
      <c r="N406" s="116"/>
      <c r="O406" s="117"/>
      <c r="P406" s="118"/>
      <c r="Q406" s="117"/>
      <c r="S406" s="40"/>
      <c r="T406" s="116"/>
      <c r="U406" s="117"/>
      <c r="V406" s="116"/>
      <c r="W406" s="116"/>
      <c r="X406" s="117"/>
      <c r="Y406" s="117"/>
    </row>
    <row r="407" spans="2:25" ht="15">
      <c r="B407" s="49" t="s">
        <v>787</v>
      </c>
      <c r="C407" s="14" t="s">
        <v>516</v>
      </c>
      <c r="D407" s="97" t="str">
        <f t="shared" si="22"/>
        <v>Same k as rxn BR25</v>
      </c>
      <c r="E407" s="97"/>
      <c r="F407" s="97"/>
      <c r="G407" s="97"/>
      <c r="H407" s="39" t="s">
        <v>203</v>
      </c>
      <c r="I407" s="49" t="s">
        <v>81</v>
      </c>
      <c r="K407" s="116"/>
      <c r="L407" s="120"/>
      <c r="M407" s="117"/>
      <c r="N407" s="116"/>
      <c r="O407" s="117"/>
      <c r="P407" s="118"/>
      <c r="Q407" s="117"/>
      <c r="S407" s="40"/>
      <c r="T407" s="116"/>
      <c r="U407" s="117"/>
      <c r="V407" s="116"/>
      <c r="W407" s="116"/>
      <c r="X407" s="117"/>
      <c r="Y407" s="117"/>
    </row>
    <row r="408" spans="2:25" ht="15">
      <c r="B408" s="49" t="s">
        <v>788</v>
      </c>
      <c r="C408" s="14" t="s">
        <v>891</v>
      </c>
      <c r="D408" s="97" t="str">
        <f t="shared" si="22"/>
        <v>Same k as rxn BR07</v>
      </c>
      <c r="E408" s="97"/>
      <c r="F408" s="97"/>
      <c r="G408" s="97"/>
      <c r="H408" s="39" t="s">
        <v>203</v>
      </c>
      <c r="I408" s="49" t="s">
        <v>44</v>
      </c>
      <c r="K408" s="116"/>
      <c r="L408" s="120"/>
      <c r="M408" s="117"/>
      <c r="N408" s="116"/>
      <c r="O408" s="117"/>
      <c r="P408" s="118"/>
      <c r="Q408" s="117"/>
      <c r="S408" s="40"/>
      <c r="T408" s="116"/>
      <c r="U408" s="117"/>
      <c r="V408" s="116"/>
      <c r="W408" s="116"/>
      <c r="X408" s="117"/>
      <c r="Y408" s="117"/>
    </row>
    <row r="409" spans="2:25" ht="15">
      <c r="B409" s="49" t="s">
        <v>789</v>
      </c>
      <c r="C409" s="14" t="s">
        <v>893</v>
      </c>
      <c r="D409" s="97" t="str">
        <f t="shared" si="22"/>
        <v>Same k as rxn BR08</v>
      </c>
      <c r="E409" s="97"/>
      <c r="F409" s="97"/>
      <c r="G409" s="97"/>
      <c r="H409" s="39" t="s">
        <v>203</v>
      </c>
      <c r="I409" s="49" t="s">
        <v>46</v>
      </c>
      <c r="K409" s="116"/>
      <c r="L409" s="120"/>
      <c r="M409" s="117"/>
      <c r="N409" s="116"/>
      <c r="O409" s="117"/>
      <c r="P409" s="118"/>
      <c r="Q409" s="117"/>
      <c r="S409" s="40"/>
      <c r="T409" s="116"/>
      <c r="U409" s="117"/>
      <c r="V409" s="116"/>
      <c r="W409" s="116"/>
      <c r="X409" s="117"/>
      <c r="Y409" s="117"/>
    </row>
    <row r="410" spans="2:25" ht="15">
      <c r="B410" s="49" t="s">
        <v>790</v>
      </c>
      <c r="C410" s="14" t="s">
        <v>895</v>
      </c>
      <c r="D410" s="97" t="str">
        <f t="shared" si="22"/>
        <v>Same k as rxn BR09</v>
      </c>
      <c r="E410" s="97"/>
      <c r="F410" s="97"/>
      <c r="G410" s="97"/>
      <c r="H410" s="39" t="s">
        <v>203</v>
      </c>
      <c r="I410" s="49" t="s">
        <v>48</v>
      </c>
      <c r="K410" s="116"/>
      <c r="L410" s="120"/>
      <c r="M410" s="117"/>
      <c r="N410" s="116"/>
      <c r="O410" s="117"/>
      <c r="P410" s="118"/>
      <c r="Q410" s="117"/>
      <c r="S410" s="40"/>
      <c r="T410" s="116"/>
      <c r="U410" s="117"/>
      <c r="V410" s="116"/>
      <c r="W410" s="116"/>
      <c r="X410" s="117"/>
      <c r="Y410" s="117"/>
    </row>
    <row r="411" spans="2:25" ht="25.5">
      <c r="B411" s="49" t="s">
        <v>791</v>
      </c>
      <c r="C411" s="14" t="s">
        <v>1236</v>
      </c>
      <c r="D411" s="97" t="str">
        <f t="shared" si="22"/>
        <v>Same k as rxn BR10</v>
      </c>
      <c r="E411" s="97"/>
      <c r="F411" s="97"/>
      <c r="G411" s="97"/>
      <c r="H411" s="39" t="s">
        <v>203</v>
      </c>
      <c r="I411" s="49" t="s">
        <v>50</v>
      </c>
      <c r="K411" s="116"/>
      <c r="L411" s="120"/>
      <c r="M411" s="117"/>
      <c r="N411" s="116"/>
      <c r="O411" s="117"/>
      <c r="P411" s="118"/>
      <c r="Q411" s="117"/>
      <c r="S411" s="40"/>
      <c r="T411" s="116"/>
      <c r="U411" s="117"/>
      <c r="V411" s="116"/>
      <c r="W411" s="116"/>
      <c r="X411" s="117"/>
      <c r="Y411" s="117"/>
    </row>
    <row r="412" spans="2:25" ht="25.5">
      <c r="B412" s="49" t="s">
        <v>792</v>
      </c>
      <c r="C412" s="14" t="s">
        <v>1237</v>
      </c>
      <c r="D412" s="97" t="str">
        <f t="shared" si="22"/>
        <v>Same k as rxn BR11</v>
      </c>
      <c r="E412" s="97"/>
      <c r="F412" s="97"/>
      <c r="G412" s="97"/>
      <c r="H412" s="39" t="s">
        <v>203</v>
      </c>
      <c r="I412" s="49" t="s">
        <v>52</v>
      </c>
      <c r="K412" s="116"/>
      <c r="L412" s="120"/>
      <c r="M412" s="117"/>
      <c r="N412" s="116"/>
      <c r="O412" s="117"/>
      <c r="P412" s="118"/>
      <c r="Q412" s="117"/>
      <c r="S412" s="40"/>
      <c r="T412" s="116"/>
      <c r="U412" s="117"/>
      <c r="V412" s="116"/>
      <c r="W412" s="116"/>
      <c r="X412" s="117"/>
      <c r="Y412" s="117"/>
    </row>
    <row r="413" spans="2:25" ht="25.5">
      <c r="B413" s="49" t="s">
        <v>794</v>
      </c>
      <c r="C413" s="14" t="s">
        <v>1238</v>
      </c>
      <c r="D413" s="97" t="str">
        <f t="shared" si="22"/>
        <v>Same k as rxn BR11</v>
      </c>
      <c r="E413" s="97"/>
      <c r="F413" s="97"/>
      <c r="G413" s="97"/>
      <c r="H413" s="39" t="s">
        <v>203</v>
      </c>
      <c r="I413" s="49" t="s">
        <v>52</v>
      </c>
      <c r="K413" s="116"/>
      <c r="L413" s="120"/>
      <c r="M413" s="117"/>
      <c r="N413" s="116"/>
      <c r="O413" s="117"/>
      <c r="P413" s="118"/>
      <c r="Q413" s="117"/>
      <c r="S413" s="40"/>
      <c r="T413" s="116"/>
      <c r="U413" s="117"/>
      <c r="V413" s="116"/>
      <c r="W413" s="116"/>
      <c r="X413" s="117"/>
      <c r="Y413" s="117"/>
    </row>
    <row r="414" spans="2:25" ht="15">
      <c r="B414" s="49" t="s">
        <v>796</v>
      </c>
      <c r="C414" s="14" t="s">
        <v>517</v>
      </c>
      <c r="D414" s="97" t="str">
        <f t="shared" si="22"/>
        <v>Same k as rxn BR25</v>
      </c>
      <c r="E414" s="97"/>
      <c r="F414" s="97"/>
      <c r="G414" s="97"/>
      <c r="H414" s="39" t="s">
        <v>203</v>
      </c>
      <c r="I414" s="49" t="s">
        <v>81</v>
      </c>
      <c r="K414" s="116"/>
      <c r="L414" s="120"/>
      <c r="M414" s="117"/>
      <c r="N414" s="116"/>
      <c r="O414" s="117"/>
      <c r="P414" s="118"/>
      <c r="Q414" s="117"/>
      <c r="S414" s="40"/>
      <c r="T414" s="116"/>
      <c r="U414" s="117"/>
      <c r="V414" s="116"/>
      <c r="W414" s="116"/>
      <c r="X414" s="117"/>
      <c r="Y414" s="117"/>
    </row>
    <row r="415" spans="2:25" ht="15">
      <c r="B415" s="49" t="s">
        <v>798</v>
      </c>
      <c r="C415" s="14" t="s">
        <v>518</v>
      </c>
      <c r="D415" s="97" t="str">
        <f t="shared" si="22"/>
        <v>Same k as rxn BR25</v>
      </c>
      <c r="E415" s="97"/>
      <c r="F415" s="97"/>
      <c r="G415" s="97"/>
      <c r="H415" s="39" t="s">
        <v>203</v>
      </c>
      <c r="I415" s="49" t="s">
        <v>81</v>
      </c>
      <c r="K415" s="116"/>
      <c r="L415" s="120"/>
      <c r="M415" s="117"/>
      <c r="N415" s="116"/>
      <c r="O415" s="117"/>
      <c r="P415" s="118"/>
      <c r="Q415" s="117"/>
      <c r="S415" s="40"/>
      <c r="T415" s="116"/>
      <c r="U415" s="117"/>
      <c r="V415" s="116"/>
      <c r="W415" s="116"/>
      <c r="X415" s="117"/>
      <c r="Y415" s="117"/>
    </row>
    <row r="416" spans="2:25" ht="15">
      <c r="B416" s="49" t="s">
        <v>799</v>
      </c>
      <c r="C416" s="14" t="s">
        <v>519</v>
      </c>
      <c r="D416" s="97" t="str">
        <f t="shared" si="22"/>
        <v>Same k as rxn BR25</v>
      </c>
      <c r="E416" s="97"/>
      <c r="F416" s="97"/>
      <c r="G416" s="97"/>
      <c r="H416" s="39" t="s">
        <v>203</v>
      </c>
      <c r="I416" s="49" t="s">
        <v>81</v>
      </c>
      <c r="K416" s="116"/>
      <c r="L416" s="120"/>
      <c r="M416" s="117"/>
      <c r="N416" s="116"/>
      <c r="O416" s="117"/>
      <c r="P416" s="118"/>
      <c r="Q416" s="117"/>
      <c r="S416" s="40"/>
      <c r="T416" s="116"/>
      <c r="U416" s="117"/>
      <c r="V416" s="116"/>
      <c r="W416" s="116"/>
      <c r="X416" s="117"/>
      <c r="Y416" s="117"/>
    </row>
    <row r="417" spans="2:25" ht="15">
      <c r="B417" s="49" t="s">
        <v>800</v>
      </c>
      <c r="C417" s="14" t="s">
        <v>520</v>
      </c>
      <c r="D417" s="97" t="str">
        <f t="shared" si="22"/>
        <v>Same k as rxn BR25</v>
      </c>
      <c r="E417" s="97"/>
      <c r="F417" s="97"/>
      <c r="G417" s="97"/>
      <c r="H417" s="39" t="s">
        <v>203</v>
      </c>
      <c r="I417" s="49" t="s">
        <v>81</v>
      </c>
      <c r="K417" s="116"/>
      <c r="L417" s="120"/>
      <c r="M417" s="117"/>
      <c r="N417" s="116"/>
      <c r="O417" s="117"/>
      <c r="P417" s="118"/>
      <c r="Q417" s="117"/>
      <c r="S417" s="40"/>
      <c r="T417" s="116"/>
      <c r="U417" s="117"/>
      <c r="V417" s="116"/>
      <c r="W417" s="116"/>
      <c r="X417" s="117"/>
      <c r="Y417" s="117"/>
    </row>
    <row r="418" spans="2:25" ht="15">
      <c r="B418" s="49" t="s">
        <v>801</v>
      </c>
      <c r="C418" s="14" t="s">
        <v>904</v>
      </c>
      <c r="D418" s="97" t="str">
        <f t="shared" si="22"/>
        <v>Same k as rxn BR07</v>
      </c>
      <c r="E418" s="97"/>
      <c r="F418" s="97"/>
      <c r="G418" s="97"/>
      <c r="H418" s="39" t="s">
        <v>203</v>
      </c>
      <c r="I418" s="49" t="s">
        <v>44</v>
      </c>
      <c r="K418" s="116"/>
      <c r="L418" s="120"/>
      <c r="M418" s="117"/>
      <c r="N418" s="116"/>
      <c r="O418" s="117"/>
      <c r="P418" s="118"/>
      <c r="Q418" s="117"/>
      <c r="S418" s="40"/>
      <c r="T418" s="116"/>
      <c r="U418" s="117"/>
      <c r="V418" s="116"/>
      <c r="W418" s="116"/>
      <c r="X418" s="117"/>
      <c r="Y418" s="117"/>
    </row>
    <row r="419" spans="2:25" ht="15">
      <c r="B419" s="49" t="s">
        <v>802</v>
      </c>
      <c r="C419" s="14" t="s">
        <v>906</v>
      </c>
      <c r="D419" s="97" t="str">
        <f t="shared" si="22"/>
        <v>Same k as rxn BR08</v>
      </c>
      <c r="E419" s="97"/>
      <c r="F419" s="97"/>
      <c r="G419" s="97"/>
      <c r="H419" s="39" t="s">
        <v>203</v>
      </c>
      <c r="I419" s="49" t="s">
        <v>46</v>
      </c>
      <c r="K419" s="116"/>
      <c r="L419" s="120"/>
      <c r="M419" s="117"/>
      <c r="N419" s="116"/>
      <c r="O419" s="117"/>
      <c r="P419" s="118"/>
      <c r="Q419" s="117"/>
      <c r="S419" s="40"/>
      <c r="T419" s="116"/>
      <c r="U419" s="117"/>
      <c r="V419" s="116"/>
      <c r="W419" s="116"/>
      <c r="X419" s="117"/>
      <c r="Y419" s="117"/>
    </row>
    <row r="420" spans="2:25" ht="15">
      <c r="B420" s="49" t="s">
        <v>803</v>
      </c>
      <c r="C420" s="14" t="s">
        <v>908</v>
      </c>
      <c r="D420" s="97" t="str">
        <f t="shared" si="22"/>
        <v>Same k as rxn BR09</v>
      </c>
      <c r="E420" s="97"/>
      <c r="F420" s="97"/>
      <c r="G420" s="97"/>
      <c r="H420" s="39" t="s">
        <v>203</v>
      </c>
      <c r="I420" s="49" t="s">
        <v>48</v>
      </c>
      <c r="K420" s="116"/>
      <c r="L420" s="120"/>
      <c r="M420" s="117"/>
      <c r="N420" s="116"/>
      <c r="O420" s="117"/>
      <c r="P420" s="118"/>
      <c r="Q420" s="117"/>
      <c r="S420" s="40"/>
      <c r="T420" s="116"/>
      <c r="U420" s="117"/>
      <c r="V420" s="116"/>
      <c r="W420" s="116"/>
      <c r="X420" s="117"/>
      <c r="Y420" s="117"/>
    </row>
    <row r="421" spans="2:25" ht="15">
      <c r="B421" s="49" t="s">
        <v>804</v>
      </c>
      <c r="C421" s="14" t="s">
        <v>1239</v>
      </c>
      <c r="D421" s="97" t="str">
        <f t="shared" si="22"/>
        <v>Same k as rxn BR10</v>
      </c>
      <c r="E421" s="97"/>
      <c r="F421" s="97"/>
      <c r="G421" s="97"/>
      <c r="H421" s="39" t="s">
        <v>203</v>
      </c>
      <c r="I421" s="49" t="s">
        <v>50</v>
      </c>
      <c r="K421" s="116"/>
      <c r="L421" s="120"/>
      <c r="M421" s="117"/>
      <c r="N421" s="116"/>
      <c r="O421" s="117"/>
      <c r="P421" s="118"/>
      <c r="Q421" s="117"/>
      <c r="S421" s="40"/>
      <c r="T421" s="116"/>
      <c r="U421" s="117"/>
      <c r="V421" s="116"/>
      <c r="W421" s="116"/>
      <c r="X421" s="117"/>
      <c r="Y421" s="117"/>
    </row>
    <row r="422" spans="2:25" ht="15">
      <c r="B422" s="49" t="s">
        <v>805</v>
      </c>
      <c r="C422" s="14" t="s">
        <v>1240</v>
      </c>
      <c r="D422" s="97" t="str">
        <f t="shared" si="22"/>
        <v>Same k as rxn BR11</v>
      </c>
      <c r="E422" s="97"/>
      <c r="F422" s="97"/>
      <c r="G422" s="97"/>
      <c r="H422" s="39" t="s">
        <v>203</v>
      </c>
      <c r="I422" s="49" t="s">
        <v>52</v>
      </c>
      <c r="K422" s="116"/>
      <c r="L422" s="120"/>
      <c r="M422" s="117"/>
      <c r="N422" s="116"/>
      <c r="O422" s="117"/>
      <c r="P422" s="118"/>
      <c r="Q422" s="117"/>
      <c r="S422" s="40"/>
      <c r="T422" s="116"/>
      <c r="U422" s="117"/>
      <c r="V422" s="116"/>
      <c r="W422" s="116"/>
      <c r="X422" s="117"/>
      <c r="Y422" s="117"/>
    </row>
    <row r="423" spans="2:25" ht="25.5">
      <c r="B423" s="49" t="s">
        <v>807</v>
      </c>
      <c r="C423" s="14" t="s">
        <v>1241</v>
      </c>
      <c r="D423" s="97" t="str">
        <f t="shared" si="22"/>
        <v>Same k as rxn BR11</v>
      </c>
      <c r="E423" s="97"/>
      <c r="F423" s="97"/>
      <c r="G423" s="97"/>
      <c r="H423" s="39" t="s">
        <v>203</v>
      </c>
      <c r="I423" s="49" t="s">
        <v>52</v>
      </c>
      <c r="K423" s="116"/>
      <c r="L423" s="120"/>
      <c r="M423" s="117"/>
      <c r="N423" s="116"/>
      <c r="O423" s="117"/>
      <c r="P423" s="118"/>
      <c r="Q423" s="117"/>
      <c r="S423" s="40"/>
      <c r="T423" s="116"/>
      <c r="U423" s="117"/>
      <c r="V423" s="116"/>
      <c r="W423" s="116"/>
      <c r="X423" s="117"/>
      <c r="Y423" s="117"/>
    </row>
    <row r="424" spans="2:25" ht="15">
      <c r="B424" s="49" t="s">
        <v>809</v>
      </c>
      <c r="C424" s="14" t="s">
        <v>521</v>
      </c>
      <c r="D424" s="97" t="str">
        <f t="shared" si="22"/>
        <v>Same k as rxn BR25</v>
      </c>
      <c r="E424" s="97"/>
      <c r="F424" s="97"/>
      <c r="G424" s="97"/>
      <c r="H424" s="39" t="s">
        <v>203</v>
      </c>
      <c r="I424" s="49" t="s">
        <v>81</v>
      </c>
      <c r="K424" s="116"/>
      <c r="L424" s="120"/>
      <c r="M424" s="117"/>
      <c r="N424" s="116"/>
      <c r="O424" s="117"/>
      <c r="P424" s="118"/>
      <c r="Q424" s="117"/>
      <c r="S424" s="40"/>
      <c r="T424" s="116"/>
      <c r="U424" s="117"/>
      <c r="V424" s="116"/>
      <c r="W424" s="116"/>
      <c r="X424" s="117"/>
      <c r="Y424" s="117"/>
    </row>
    <row r="425" spans="2:25" ht="15">
      <c r="B425" s="49" t="s">
        <v>811</v>
      </c>
      <c r="C425" s="14" t="s">
        <v>522</v>
      </c>
      <c r="D425" s="97" t="str">
        <f t="shared" si="22"/>
        <v>Same k as rxn BR25</v>
      </c>
      <c r="E425" s="97"/>
      <c r="F425" s="97"/>
      <c r="G425" s="97"/>
      <c r="H425" s="39" t="s">
        <v>203</v>
      </c>
      <c r="I425" s="49" t="s">
        <v>81</v>
      </c>
      <c r="K425" s="116"/>
      <c r="L425" s="120"/>
      <c r="M425" s="117"/>
      <c r="N425" s="116"/>
      <c r="O425" s="117"/>
      <c r="P425" s="118"/>
      <c r="Q425" s="117"/>
      <c r="S425" s="40"/>
      <c r="T425" s="116"/>
      <c r="U425" s="117"/>
      <c r="V425" s="116"/>
      <c r="W425" s="116"/>
      <c r="X425" s="117"/>
      <c r="Y425" s="117"/>
    </row>
    <row r="426" spans="2:25" ht="15">
      <c r="B426" s="49" t="s">
        <v>812</v>
      </c>
      <c r="C426" s="14" t="s">
        <v>523</v>
      </c>
      <c r="D426" s="97" t="str">
        <f t="shared" si="22"/>
        <v>Same k as rxn BR25</v>
      </c>
      <c r="E426" s="97"/>
      <c r="F426" s="97"/>
      <c r="G426" s="97"/>
      <c r="H426" s="39" t="s">
        <v>203</v>
      </c>
      <c r="I426" s="49" t="s">
        <v>81</v>
      </c>
      <c r="K426" s="116"/>
      <c r="L426" s="120"/>
      <c r="M426" s="117"/>
      <c r="N426" s="116"/>
      <c r="O426" s="117"/>
      <c r="P426" s="118"/>
      <c r="Q426" s="117"/>
      <c r="S426" s="40"/>
      <c r="T426" s="116"/>
      <c r="U426" s="117"/>
      <c r="V426" s="116"/>
      <c r="W426" s="116"/>
      <c r="X426" s="117"/>
      <c r="Y426" s="117"/>
    </row>
    <row r="427" spans="2:25" ht="15">
      <c r="B427" s="49" t="s">
        <v>813</v>
      </c>
      <c r="C427" s="14" t="s">
        <v>524</v>
      </c>
      <c r="D427" s="97" t="str">
        <f t="shared" si="22"/>
        <v>Same k as rxn BR25</v>
      </c>
      <c r="E427" s="97"/>
      <c r="F427" s="97"/>
      <c r="G427" s="97"/>
      <c r="H427" s="39" t="s">
        <v>203</v>
      </c>
      <c r="I427" s="49" t="s">
        <v>81</v>
      </c>
      <c r="K427" s="116"/>
      <c r="L427" s="120"/>
      <c r="M427" s="117"/>
      <c r="N427" s="116"/>
      <c r="O427" s="117"/>
      <c r="P427" s="118"/>
      <c r="Q427" s="117"/>
      <c r="S427" s="40"/>
      <c r="T427" s="116"/>
      <c r="U427" s="117"/>
      <c r="V427" s="116"/>
      <c r="W427" s="116"/>
      <c r="X427" s="117"/>
      <c r="Y427" s="117"/>
    </row>
    <row r="428" spans="2:25" ht="15">
      <c r="B428" s="49" t="s">
        <v>814</v>
      </c>
      <c r="C428" s="14" t="s">
        <v>917</v>
      </c>
      <c r="D428" s="97" t="str">
        <f t="shared" si="22"/>
        <v>Same k as rxn BR07</v>
      </c>
      <c r="E428" s="97"/>
      <c r="F428" s="97"/>
      <c r="G428" s="97"/>
      <c r="H428" s="39" t="s">
        <v>203</v>
      </c>
      <c r="I428" s="49" t="s">
        <v>44</v>
      </c>
      <c r="K428" s="116"/>
      <c r="L428" s="120"/>
      <c r="M428" s="117"/>
      <c r="N428" s="116"/>
      <c r="O428" s="117"/>
      <c r="P428" s="118"/>
      <c r="Q428" s="117"/>
      <c r="S428" s="40"/>
      <c r="T428" s="116"/>
      <c r="U428" s="117"/>
      <c r="V428" s="116"/>
      <c r="W428" s="116"/>
      <c r="X428" s="117"/>
      <c r="Y428" s="117"/>
    </row>
    <row r="429" spans="2:25" ht="15">
      <c r="B429" s="49" t="s">
        <v>815</v>
      </c>
      <c r="C429" s="14" t="s">
        <v>919</v>
      </c>
      <c r="D429" s="97" t="str">
        <f t="shared" si="22"/>
        <v>Same k as rxn BR08</v>
      </c>
      <c r="E429" s="97"/>
      <c r="F429" s="97"/>
      <c r="G429" s="97"/>
      <c r="H429" s="39" t="s">
        <v>203</v>
      </c>
      <c r="I429" s="49" t="s">
        <v>46</v>
      </c>
      <c r="K429" s="116"/>
      <c r="L429" s="120"/>
      <c r="M429" s="117"/>
      <c r="N429" s="116"/>
      <c r="O429" s="117"/>
      <c r="P429" s="118"/>
      <c r="Q429" s="117"/>
      <c r="S429" s="40"/>
      <c r="T429" s="116"/>
      <c r="U429" s="117"/>
      <c r="V429" s="116"/>
      <c r="W429" s="116"/>
      <c r="X429" s="117"/>
      <c r="Y429" s="117"/>
    </row>
    <row r="430" spans="2:25" ht="15">
      <c r="B430" s="49" t="s">
        <v>816</v>
      </c>
      <c r="C430" s="14" t="s">
        <v>921</v>
      </c>
      <c r="D430" s="97" t="str">
        <f t="shared" si="22"/>
        <v>Same k as rxn BR09</v>
      </c>
      <c r="E430" s="97"/>
      <c r="F430" s="97"/>
      <c r="G430" s="97"/>
      <c r="H430" s="39" t="s">
        <v>203</v>
      </c>
      <c r="I430" s="49" t="s">
        <v>48</v>
      </c>
      <c r="K430" s="116"/>
      <c r="L430" s="120"/>
      <c r="M430" s="117"/>
      <c r="N430" s="116"/>
      <c r="O430" s="117"/>
      <c r="P430" s="118"/>
      <c r="Q430" s="117"/>
      <c r="S430" s="40"/>
      <c r="T430" s="116"/>
      <c r="U430" s="117"/>
      <c r="V430" s="116"/>
      <c r="W430" s="116"/>
      <c r="X430" s="117"/>
      <c r="Y430" s="117"/>
    </row>
    <row r="431" spans="2:25" ht="25.5">
      <c r="B431" s="49" t="s">
        <v>817</v>
      </c>
      <c r="C431" s="14" t="s">
        <v>1242</v>
      </c>
      <c r="D431" s="97" t="str">
        <f t="shared" si="22"/>
        <v>Same k as rxn BR10</v>
      </c>
      <c r="E431" s="97"/>
      <c r="F431" s="97"/>
      <c r="G431" s="97"/>
      <c r="H431" s="39" t="s">
        <v>203</v>
      </c>
      <c r="I431" s="49" t="s">
        <v>50</v>
      </c>
      <c r="K431" s="116"/>
      <c r="L431" s="120"/>
      <c r="M431" s="117"/>
      <c r="N431" s="116"/>
      <c r="O431" s="117"/>
      <c r="P431" s="118"/>
      <c r="Q431" s="117"/>
      <c r="S431" s="40"/>
      <c r="T431" s="116"/>
      <c r="U431" s="117"/>
      <c r="V431" s="116"/>
      <c r="W431" s="116"/>
      <c r="X431" s="117"/>
      <c r="Y431" s="117"/>
    </row>
    <row r="432" spans="2:25" ht="25.5">
      <c r="B432" s="49" t="s">
        <v>818</v>
      </c>
      <c r="C432" s="14" t="s">
        <v>1243</v>
      </c>
      <c r="D432" s="97" t="str">
        <f t="shared" si="22"/>
        <v>Same k as rxn BR11</v>
      </c>
      <c r="E432" s="97"/>
      <c r="F432" s="97"/>
      <c r="G432" s="97"/>
      <c r="H432" s="39" t="s">
        <v>203</v>
      </c>
      <c r="I432" s="49" t="s">
        <v>52</v>
      </c>
      <c r="K432" s="116"/>
      <c r="L432" s="120"/>
      <c r="M432" s="117"/>
      <c r="N432" s="116"/>
      <c r="O432" s="117"/>
      <c r="P432" s="118"/>
      <c r="Q432" s="117"/>
      <c r="S432" s="40"/>
      <c r="T432" s="116"/>
      <c r="U432" s="117"/>
      <c r="V432" s="116"/>
      <c r="W432" s="116"/>
      <c r="X432" s="117"/>
      <c r="Y432" s="117"/>
    </row>
    <row r="433" spans="2:25" ht="25.5">
      <c r="B433" s="49" t="s">
        <v>820</v>
      </c>
      <c r="C433" s="14" t="s">
        <v>1244</v>
      </c>
      <c r="D433" s="97" t="str">
        <f t="shared" si="22"/>
        <v>Same k as rxn BR11</v>
      </c>
      <c r="E433" s="97"/>
      <c r="F433" s="97"/>
      <c r="G433" s="97"/>
      <c r="H433" s="39" t="s">
        <v>203</v>
      </c>
      <c r="I433" s="49" t="s">
        <v>52</v>
      </c>
      <c r="K433" s="116"/>
      <c r="L433" s="120"/>
      <c r="M433" s="117"/>
      <c r="N433" s="116"/>
      <c r="O433" s="117"/>
      <c r="P433" s="118"/>
      <c r="Q433" s="117"/>
      <c r="S433" s="40"/>
      <c r="T433" s="116"/>
      <c r="U433" s="117"/>
      <c r="V433" s="116"/>
      <c r="W433" s="116"/>
      <c r="X433" s="117"/>
      <c r="Y433" s="117"/>
    </row>
    <row r="434" spans="2:25" ht="15">
      <c r="B434" s="49" t="s">
        <v>822</v>
      </c>
      <c r="C434" s="14" t="s">
        <v>525</v>
      </c>
      <c r="D434" s="97" t="str">
        <f t="shared" si="22"/>
        <v>Same k as rxn BR25</v>
      </c>
      <c r="E434" s="97"/>
      <c r="F434" s="97"/>
      <c r="G434" s="97"/>
      <c r="H434" s="39" t="s">
        <v>203</v>
      </c>
      <c r="I434" s="49" t="s">
        <v>81</v>
      </c>
      <c r="K434" s="116"/>
      <c r="L434" s="120"/>
      <c r="M434" s="117"/>
      <c r="N434" s="116"/>
      <c r="O434" s="117"/>
      <c r="P434" s="118"/>
      <c r="Q434" s="117"/>
      <c r="S434" s="40"/>
      <c r="T434" s="116"/>
      <c r="U434" s="117"/>
      <c r="V434" s="116"/>
      <c r="W434" s="116"/>
      <c r="X434" s="117"/>
      <c r="Y434" s="117"/>
    </row>
    <row r="435" spans="2:25" ht="15">
      <c r="B435" s="49" t="s">
        <v>824</v>
      </c>
      <c r="C435" s="14" t="s">
        <v>526</v>
      </c>
      <c r="D435" s="97" t="str">
        <f t="shared" si="22"/>
        <v>Same k as rxn BR25</v>
      </c>
      <c r="E435" s="97"/>
      <c r="F435" s="97"/>
      <c r="G435" s="97"/>
      <c r="H435" s="39" t="s">
        <v>203</v>
      </c>
      <c r="I435" s="49" t="s">
        <v>81</v>
      </c>
      <c r="K435" s="116"/>
      <c r="L435" s="120"/>
      <c r="M435" s="117"/>
      <c r="N435" s="116"/>
      <c r="O435" s="117"/>
      <c r="P435" s="118"/>
      <c r="Q435" s="117"/>
      <c r="S435" s="40"/>
      <c r="T435" s="116"/>
      <c r="U435" s="117"/>
      <c r="V435" s="116"/>
      <c r="W435" s="116"/>
      <c r="X435" s="117"/>
      <c r="Y435" s="117"/>
    </row>
    <row r="436" spans="2:25" ht="15">
      <c r="B436" s="49" t="s">
        <v>825</v>
      </c>
      <c r="C436" s="14" t="s">
        <v>527</v>
      </c>
      <c r="D436" s="97" t="str">
        <f t="shared" si="22"/>
        <v>Same k as rxn BR25</v>
      </c>
      <c r="E436" s="97"/>
      <c r="F436" s="97"/>
      <c r="G436" s="97"/>
      <c r="H436" s="39" t="s">
        <v>203</v>
      </c>
      <c r="I436" s="49" t="s">
        <v>81</v>
      </c>
      <c r="K436" s="116"/>
      <c r="L436" s="120"/>
      <c r="M436" s="117"/>
      <c r="N436" s="116"/>
      <c r="O436" s="117"/>
      <c r="P436" s="118"/>
      <c r="Q436" s="117"/>
      <c r="S436" s="40"/>
      <c r="T436" s="116"/>
      <c r="U436" s="117"/>
      <c r="V436" s="116"/>
      <c r="W436" s="116"/>
      <c r="X436" s="117"/>
      <c r="Y436" s="117"/>
    </row>
    <row r="437" spans="2:25" ht="15">
      <c r="B437" s="49" t="s">
        <v>826</v>
      </c>
      <c r="C437" s="14" t="s">
        <v>528</v>
      </c>
      <c r="D437" s="97" t="str">
        <f t="shared" si="22"/>
        <v>Same k as rxn BR25</v>
      </c>
      <c r="E437" s="97"/>
      <c r="F437" s="97"/>
      <c r="G437" s="97"/>
      <c r="H437" s="39" t="s">
        <v>203</v>
      </c>
      <c r="I437" s="49" t="s">
        <v>81</v>
      </c>
      <c r="K437" s="116"/>
      <c r="L437" s="120"/>
      <c r="M437" s="117"/>
      <c r="N437" s="116"/>
      <c r="O437" s="117"/>
      <c r="P437" s="118"/>
      <c r="Q437" s="117"/>
      <c r="S437" s="40"/>
      <c r="T437" s="116"/>
      <c r="U437" s="117"/>
      <c r="V437" s="116"/>
      <c r="W437" s="116"/>
      <c r="X437" s="117"/>
      <c r="Y437" s="117"/>
    </row>
    <row r="438" spans="2:25" ht="15">
      <c r="B438" s="49" t="s">
        <v>827</v>
      </c>
      <c r="C438" s="14" t="s">
        <v>930</v>
      </c>
      <c r="D438" s="97" t="str">
        <f t="shared" si="22"/>
        <v>Same k as rxn BR07</v>
      </c>
      <c r="E438" s="97"/>
      <c r="F438" s="97"/>
      <c r="G438" s="97"/>
      <c r="H438" s="39" t="s">
        <v>203</v>
      </c>
      <c r="I438" s="49" t="s">
        <v>44</v>
      </c>
      <c r="K438" s="116"/>
      <c r="L438" s="120"/>
      <c r="M438" s="117"/>
      <c r="N438" s="116"/>
      <c r="O438" s="117"/>
      <c r="P438" s="118"/>
      <c r="Q438" s="117"/>
      <c r="S438" s="40"/>
      <c r="T438" s="116"/>
      <c r="U438" s="117"/>
      <c r="V438" s="116"/>
      <c r="W438" s="116"/>
      <c r="X438" s="117"/>
      <c r="Y438" s="117"/>
    </row>
    <row r="439" spans="2:25" ht="15">
      <c r="B439" s="49" t="s">
        <v>828</v>
      </c>
      <c r="C439" s="14" t="s">
        <v>932</v>
      </c>
      <c r="D439" s="97" t="str">
        <f t="shared" si="22"/>
        <v>Same k as rxn BR08</v>
      </c>
      <c r="E439" s="97"/>
      <c r="F439" s="97"/>
      <c r="G439" s="97"/>
      <c r="H439" s="39" t="s">
        <v>203</v>
      </c>
      <c r="I439" s="49" t="s">
        <v>46</v>
      </c>
      <c r="K439" s="116"/>
      <c r="L439" s="120"/>
      <c r="M439" s="117"/>
      <c r="N439" s="116"/>
      <c r="O439" s="117"/>
      <c r="P439" s="118"/>
      <c r="Q439" s="117"/>
      <c r="S439" s="40"/>
      <c r="T439" s="116"/>
      <c r="U439" s="117"/>
      <c r="V439" s="116"/>
      <c r="W439" s="116"/>
      <c r="X439" s="117"/>
      <c r="Y439" s="117"/>
    </row>
    <row r="440" spans="2:25" ht="15">
      <c r="B440" s="49" t="s">
        <v>829</v>
      </c>
      <c r="C440" s="14" t="s">
        <v>934</v>
      </c>
      <c r="D440" s="97" t="str">
        <f t="shared" si="22"/>
        <v>Same k as rxn BR09</v>
      </c>
      <c r="E440" s="97"/>
      <c r="F440" s="97"/>
      <c r="G440" s="97"/>
      <c r="H440" s="39" t="s">
        <v>203</v>
      </c>
      <c r="I440" s="49" t="s">
        <v>48</v>
      </c>
      <c r="K440" s="116"/>
      <c r="L440" s="120"/>
      <c r="M440" s="117"/>
      <c r="N440" s="116"/>
      <c r="O440" s="117"/>
      <c r="P440" s="118"/>
      <c r="Q440" s="117"/>
      <c r="S440" s="40"/>
      <c r="T440" s="116"/>
      <c r="U440" s="117"/>
      <c r="V440" s="116"/>
      <c r="W440" s="116"/>
      <c r="X440" s="117"/>
      <c r="Y440" s="117"/>
    </row>
    <row r="441" spans="2:25" ht="25.5">
      <c r="B441" s="49" t="s">
        <v>830</v>
      </c>
      <c r="C441" s="14" t="s">
        <v>1245</v>
      </c>
      <c r="D441" s="97" t="str">
        <f t="shared" si="22"/>
        <v>Same k as rxn BR10</v>
      </c>
      <c r="E441" s="97"/>
      <c r="F441" s="97"/>
      <c r="G441" s="97"/>
      <c r="H441" s="39" t="s">
        <v>203</v>
      </c>
      <c r="I441" s="49" t="s">
        <v>50</v>
      </c>
      <c r="K441" s="116"/>
      <c r="L441" s="120"/>
      <c r="M441" s="117"/>
      <c r="N441" s="116"/>
      <c r="O441" s="117"/>
      <c r="P441" s="118"/>
      <c r="Q441" s="117"/>
      <c r="S441" s="40"/>
      <c r="T441" s="116"/>
      <c r="U441" s="117"/>
      <c r="V441" s="116"/>
      <c r="W441" s="116"/>
      <c r="X441" s="117"/>
      <c r="Y441" s="117"/>
    </row>
    <row r="442" spans="2:25" ht="25.5">
      <c r="B442" s="49" t="s">
        <v>831</v>
      </c>
      <c r="C442" s="14" t="s">
        <v>1246</v>
      </c>
      <c r="D442" s="97" t="str">
        <f t="shared" si="22"/>
        <v>Same k as rxn BR11</v>
      </c>
      <c r="E442" s="97"/>
      <c r="F442" s="97"/>
      <c r="G442" s="97"/>
      <c r="H442" s="39" t="s">
        <v>203</v>
      </c>
      <c r="I442" s="49" t="s">
        <v>52</v>
      </c>
      <c r="K442" s="116"/>
      <c r="L442" s="120"/>
      <c r="M442" s="117"/>
      <c r="N442" s="116"/>
      <c r="O442" s="117"/>
      <c r="P442" s="118"/>
      <c r="Q442" s="117"/>
      <c r="S442" s="40"/>
      <c r="T442" s="116"/>
      <c r="U442" s="117"/>
      <c r="V442" s="116"/>
      <c r="W442" s="116"/>
      <c r="X442" s="117"/>
      <c r="Y442" s="117"/>
    </row>
    <row r="443" spans="2:25" ht="25.5">
      <c r="B443" s="49" t="s">
        <v>833</v>
      </c>
      <c r="C443" s="14" t="s">
        <v>1247</v>
      </c>
      <c r="D443" s="97" t="str">
        <f t="shared" si="22"/>
        <v>Same k as rxn BR11</v>
      </c>
      <c r="E443" s="97"/>
      <c r="F443" s="97"/>
      <c r="G443" s="97"/>
      <c r="H443" s="39" t="s">
        <v>203</v>
      </c>
      <c r="I443" s="49" t="s">
        <v>52</v>
      </c>
      <c r="K443" s="116"/>
      <c r="L443" s="120"/>
      <c r="M443" s="117"/>
      <c r="N443" s="116"/>
      <c r="O443" s="117"/>
      <c r="P443" s="118"/>
      <c r="Q443" s="117"/>
      <c r="S443" s="40"/>
      <c r="T443" s="116"/>
      <c r="U443" s="117"/>
      <c r="V443" s="116"/>
      <c r="W443" s="116"/>
      <c r="X443" s="117"/>
      <c r="Y443" s="117"/>
    </row>
    <row r="444" spans="2:25" ht="15">
      <c r="B444" s="49" t="s">
        <v>835</v>
      </c>
      <c r="C444" s="14" t="s">
        <v>529</v>
      </c>
      <c r="D444" s="97" t="str">
        <f t="shared" si="22"/>
        <v>Same k as rxn BR25</v>
      </c>
      <c r="E444" s="97"/>
      <c r="F444" s="97"/>
      <c r="G444" s="97"/>
      <c r="H444" s="39" t="s">
        <v>203</v>
      </c>
      <c r="I444" s="49" t="s">
        <v>81</v>
      </c>
      <c r="K444" s="116"/>
      <c r="L444" s="120"/>
      <c r="M444" s="117"/>
      <c r="N444" s="116"/>
      <c r="O444" s="117"/>
      <c r="P444" s="118"/>
      <c r="Q444" s="117"/>
      <c r="S444" s="40"/>
      <c r="T444" s="116"/>
      <c r="U444" s="117"/>
      <c r="V444" s="116"/>
      <c r="W444" s="116"/>
      <c r="X444" s="117"/>
      <c r="Y444" s="117"/>
    </row>
    <row r="445" spans="2:25" ht="15">
      <c r="B445" s="49" t="s">
        <v>837</v>
      </c>
      <c r="C445" s="14" t="s">
        <v>530</v>
      </c>
      <c r="D445" s="97" t="str">
        <f t="shared" si="22"/>
        <v>Same k as rxn BR25</v>
      </c>
      <c r="E445" s="97"/>
      <c r="F445" s="97"/>
      <c r="G445" s="97"/>
      <c r="H445" s="39" t="s">
        <v>203</v>
      </c>
      <c r="I445" s="49" t="s">
        <v>81</v>
      </c>
      <c r="K445" s="116"/>
      <c r="L445" s="120"/>
      <c r="M445" s="117"/>
      <c r="N445" s="116"/>
      <c r="O445" s="117"/>
      <c r="P445" s="118"/>
      <c r="Q445" s="117"/>
      <c r="S445" s="40"/>
      <c r="T445" s="116"/>
      <c r="U445" s="117"/>
      <c r="V445" s="116"/>
      <c r="W445" s="116"/>
      <c r="X445" s="117"/>
      <c r="Y445" s="117"/>
    </row>
    <row r="446" spans="2:25" ht="15">
      <c r="B446" s="49" t="s">
        <v>838</v>
      </c>
      <c r="C446" s="14" t="s">
        <v>531</v>
      </c>
      <c r="D446" s="97" t="str">
        <f t="shared" si="22"/>
        <v>Same k as rxn BR25</v>
      </c>
      <c r="E446" s="97"/>
      <c r="F446" s="97"/>
      <c r="G446" s="97"/>
      <c r="H446" s="39" t="s">
        <v>203</v>
      </c>
      <c r="I446" s="49" t="s">
        <v>81</v>
      </c>
      <c r="K446" s="116"/>
      <c r="L446" s="120"/>
      <c r="M446" s="117"/>
      <c r="N446" s="116"/>
      <c r="O446" s="117"/>
      <c r="P446" s="118"/>
      <c r="Q446" s="117"/>
      <c r="S446" s="40"/>
      <c r="T446" s="116"/>
      <c r="U446" s="117"/>
      <c r="V446" s="116"/>
      <c r="W446" s="116"/>
      <c r="X446" s="117"/>
      <c r="Y446" s="117"/>
    </row>
    <row r="447" spans="2:25" ht="15">
      <c r="B447" s="49" t="s">
        <v>859</v>
      </c>
      <c r="C447" s="14" t="s">
        <v>532</v>
      </c>
      <c r="D447" s="97" t="str">
        <f t="shared" si="22"/>
        <v>Same k as rxn BR25</v>
      </c>
      <c r="E447" s="97"/>
      <c r="F447" s="97"/>
      <c r="G447" s="97"/>
      <c r="H447" s="39" t="s">
        <v>203</v>
      </c>
      <c r="I447" s="49" t="s">
        <v>81</v>
      </c>
      <c r="K447" s="116"/>
      <c r="L447" s="120"/>
      <c r="M447" s="117"/>
      <c r="N447" s="116"/>
      <c r="O447" s="117"/>
      <c r="P447" s="118"/>
      <c r="Q447" s="117"/>
      <c r="S447" s="40"/>
      <c r="T447" s="116"/>
      <c r="U447" s="117"/>
      <c r="V447" s="116"/>
      <c r="W447" s="116"/>
      <c r="X447" s="117"/>
      <c r="Y447" s="117"/>
    </row>
    <row r="448" spans="2:25" ht="15">
      <c r="B448" s="49" t="s">
        <v>860</v>
      </c>
      <c r="C448" s="14" t="s">
        <v>943</v>
      </c>
      <c r="D448" s="97" t="str">
        <f t="shared" si="22"/>
        <v>Same k as rxn BR07</v>
      </c>
      <c r="E448" s="97"/>
      <c r="F448" s="97"/>
      <c r="G448" s="97"/>
      <c r="H448" s="39" t="s">
        <v>203</v>
      </c>
      <c r="I448" s="49" t="s">
        <v>44</v>
      </c>
      <c r="K448" s="116"/>
      <c r="L448" s="120"/>
      <c r="M448" s="117"/>
      <c r="N448" s="116"/>
      <c r="O448" s="117"/>
      <c r="P448" s="118"/>
      <c r="Q448" s="117"/>
      <c r="S448" s="40"/>
      <c r="T448" s="116"/>
      <c r="U448" s="117"/>
      <c r="V448" s="116"/>
      <c r="W448" s="116"/>
      <c r="X448" s="117"/>
      <c r="Y448" s="117"/>
    </row>
    <row r="449" spans="2:25" ht="15">
      <c r="B449" s="49" t="s">
        <v>861</v>
      </c>
      <c r="C449" s="14" t="s">
        <v>945</v>
      </c>
      <c r="D449" s="97" t="str">
        <f t="shared" si="22"/>
        <v>Same k as rxn BR08</v>
      </c>
      <c r="E449" s="97"/>
      <c r="F449" s="97"/>
      <c r="G449" s="97"/>
      <c r="H449" s="39" t="s">
        <v>203</v>
      </c>
      <c r="I449" s="49" t="s">
        <v>46</v>
      </c>
      <c r="K449" s="116"/>
      <c r="L449" s="120"/>
      <c r="M449" s="117"/>
      <c r="N449" s="116"/>
      <c r="O449" s="117"/>
      <c r="P449" s="118"/>
      <c r="Q449" s="117"/>
      <c r="S449" s="40"/>
      <c r="T449" s="116"/>
      <c r="U449" s="117"/>
      <c r="V449" s="116"/>
      <c r="W449" s="116"/>
      <c r="X449" s="117"/>
      <c r="Y449" s="117"/>
    </row>
    <row r="450" spans="2:25" ht="15">
      <c r="B450" s="49" t="s">
        <v>862</v>
      </c>
      <c r="C450" s="14" t="s">
        <v>947</v>
      </c>
      <c r="D450" s="97" t="str">
        <f t="shared" si="22"/>
        <v>Same k as rxn BR09</v>
      </c>
      <c r="E450" s="97"/>
      <c r="F450" s="97"/>
      <c r="G450" s="97"/>
      <c r="H450" s="39" t="s">
        <v>203</v>
      </c>
      <c r="I450" s="49" t="s">
        <v>48</v>
      </c>
      <c r="K450" s="116"/>
      <c r="L450" s="120"/>
      <c r="M450" s="117"/>
      <c r="N450" s="116"/>
      <c r="O450" s="117"/>
      <c r="P450" s="118"/>
      <c r="Q450" s="117"/>
      <c r="S450" s="40"/>
      <c r="T450" s="116"/>
      <c r="U450" s="117"/>
      <c r="V450" s="116"/>
      <c r="W450" s="116"/>
      <c r="X450" s="117"/>
      <c r="Y450" s="117"/>
    </row>
    <row r="451" spans="2:25" ht="25.5">
      <c r="B451" s="49" t="s">
        <v>863</v>
      </c>
      <c r="C451" s="14" t="s">
        <v>1248</v>
      </c>
      <c r="D451" s="97" t="str">
        <f t="shared" si="22"/>
        <v>Same k as rxn BR10</v>
      </c>
      <c r="E451" s="97"/>
      <c r="F451" s="97"/>
      <c r="G451" s="97"/>
      <c r="H451" s="39" t="s">
        <v>203</v>
      </c>
      <c r="I451" s="49" t="s">
        <v>50</v>
      </c>
      <c r="K451" s="116"/>
      <c r="L451" s="120"/>
      <c r="M451" s="117"/>
      <c r="N451" s="116"/>
      <c r="O451" s="117"/>
      <c r="P451" s="118"/>
      <c r="Q451" s="117"/>
      <c r="S451" s="40"/>
      <c r="T451" s="116"/>
      <c r="U451" s="117"/>
      <c r="V451" s="116"/>
      <c r="W451" s="116"/>
      <c r="X451" s="117"/>
      <c r="Y451" s="117"/>
    </row>
    <row r="452" spans="2:25" ht="25.5">
      <c r="B452" s="49" t="s">
        <v>864</v>
      </c>
      <c r="C452" s="14" t="s">
        <v>1249</v>
      </c>
      <c r="D452" s="97" t="str">
        <f t="shared" si="22"/>
        <v>Same k as rxn BR11</v>
      </c>
      <c r="E452" s="97"/>
      <c r="F452" s="97"/>
      <c r="G452" s="97"/>
      <c r="H452" s="39" t="s">
        <v>203</v>
      </c>
      <c r="I452" s="49" t="s">
        <v>52</v>
      </c>
      <c r="K452" s="116"/>
      <c r="L452" s="120"/>
      <c r="M452" s="117"/>
      <c r="N452" s="116"/>
      <c r="O452" s="117"/>
      <c r="P452" s="118"/>
      <c r="Q452" s="117"/>
      <c r="S452" s="40"/>
      <c r="T452" s="116"/>
      <c r="U452" s="117"/>
      <c r="V452" s="116"/>
      <c r="W452" s="116"/>
      <c r="X452" s="117"/>
      <c r="Y452" s="117"/>
    </row>
    <row r="453" spans="2:25" ht="25.5">
      <c r="B453" s="49" t="s">
        <v>866</v>
      </c>
      <c r="C453" s="14" t="s">
        <v>1250</v>
      </c>
      <c r="D453" s="97" t="str">
        <f t="shared" si="22"/>
        <v>Same k as rxn BR11</v>
      </c>
      <c r="E453" s="97"/>
      <c r="F453" s="97"/>
      <c r="G453" s="97"/>
      <c r="H453" s="39" t="s">
        <v>203</v>
      </c>
      <c r="I453" s="49" t="s">
        <v>52</v>
      </c>
      <c r="K453" s="116"/>
      <c r="L453" s="120"/>
      <c r="M453" s="117"/>
      <c r="N453" s="116"/>
      <c r="O453" s="117"/>
      <c r="P453" s="118"/>
      <c r="Q453" s="117"/>
      <c r="S453" s="40"/>
      <c r="T453" s="116"/>
      <c r="U453" s="117"/>
      <c r="V453" s="116"/>
      <c r="W453" s="116"/>
      <c r="X453" s="117"/>
      <c r="Y453" s="117"/>
    </row>
    <row r="454" spans="2:25" ht="15">
      <c r="B454" s="49" t="s">
        <v>868</v>
      </c>
      <c r="C454" s="14" t="s">
        <v>533</v>
      </c>
      <c r="D454" s="97" t="str">
        <f t="shared" si="22"/>
        <v>Same k as rxn BR25</v>
      </c>
      <c r="E454" s="97"/>
      <c r="F454" s="97"/>
      <c r="G454" s="97"/>
      <c r="H454" s="39" t="s">
        <v>203</v>
      </c>
      <c r="I454" s="49" t="s">
        <v>81</v>
      </c>
      <c r="K454" s="116"/>
      <c r="L454" s="120"/>
      <c r="M454" s="117"/>
      <c r="N454" s="116"/>
      <c r="O454" s="117"/>
      <c r="P454" s="118"/>
      <c r="Q454" s="117"/>
      <c r="S454" s="40"/>
      <c r="T454" s="116"/>
      <c r="U454" s="117"/>
      <c r="V454" s="116"/>
      <c r="W454" s="116"/>
      <c r="X454" s="117"/>
      <c r="Y454" s="117"/>
    </row>
    <row r="455" spans="2:25" ht="15">
      <c r="B455" s="49" t="s">
        <v>870</v>
      </c>
      <c r="C455" s="14" t="s">
        <v>534</v>
      </c>
      <c r="D455" s="97" t="str">
        <f t="shared" si="22"/>
        <v>Same k as rxn BR25</v>
      </c>
      <c r="E455" s="97"/>
      <c r="F455" s="97"/>
      <c r="G455" s="97"/>
      <c r="H455" s="39" t="s">
        <v>203</v>
      </c>
      <c r="I455" s="49" t="s">
        <v>81</v>
      </c>
      <c r="K455" s="116"/>
      <c r="L455" s="120"/>
      <c r="M455" s="117"/>
      <c r="N455" s="116"/>
      <c r="O455" s="117"/>
      <c r="P455" s="118"/>
      <c r="Q455" s="117"/>
      <c r="S455" s="40"/>
      <c r="T455" s="116"/>
      <c r="U455" s="117"/>
      <c r="V455" s="116"/>
      <c r="W455" s="116"/>
      <c r="X455" s="117"/>
      <c r="Y455" s="117"/>
    </row>
    <row r="456" spans="2:25" ht="15">
      <c r="B456" s="49" t="s">
        <v>871</v>
      </c>
      <c r="C456" s="14" t="s">
        <v>535</v>
      </c>
      <c r="D456" s="97" t="str">
        <f t="shared" si="22"/>
        <v>Same k as rxn BR25</v>
      </c>
      <c r="E456" s="97"/>
      <c r="F456" s="97"/>
      <c r="G456" s="97"/>
      <c r="H456" s="39" t="s">
        <v>203</v>
      </c>
      <c r="I456" s="49" t="s">
        <v>81</v>
      </c>
      <c r="K456" s="116"/>
      <c r="L456" s="120"/>
      <c r="M456" s="117"/>
      <c r="N456" s="116"/>
      <c r="O456" s="117"/>
      <c r="P456" s="118"/>
      <c r="Q456" s="117"/>
      <c r="S456" s="40"/>
      <c r="T456" s="116"/>
      <c r="U456" s="117"/>
      <c r="V456" s="116"/>
      <c r="W456" s="116"/>
      <c r="X456" s="117"/>
      <c r="Y456" s="117"/>
    </row>
    <row r="457" spans="2:25" ht="15">
      <c r="B457" s="49" t="s">
        <v>872</v>
      </c>
      <c r="C457" s="14" t="s">
        <v>536</v>
      </c>
      <c r="D457" s="97" t="str">
        <f t="shared" si="22"/>
        <v>Same k as rxn BR25</v>
      </c>
      <c r="E457" s="97"/>
      <c r="F457" s="97"/>
      <c r="G457" s="97"/>
      <c r="H457" s="39" t="s">
        <v>203</v>
      </c>
      <c r="I457" s="49" t="s">
        <v>81</v>
      </c>
      <c r="K457" s="116"/>
      <c r="L457" s="120"/>
      <c r="M457" s="117"/>
      <c r="N457" s="116"/>
      <c r="O457" s="117"/>
      <c r="P457" s="118"/>
      <c r="Q457" s="117"/>
      <c r="S457" s="40"/>
      <c r="T457" s="116"/>
      <c r="U457" s="117"/>
      <c r="V457" s="116"/>
      <c r="W457" s="116"/>
      <c r="X457" s="117"/>
      <c r="Y457" s="117"/>
    </row>
    <row r="458" spans="2:25" ht="15">
      <c r="B458" s="49" t="s">
        <v>873</v>
      </c>
      <c r="C458" s="14" t="s">
        <v>956</v>
      </c>
      <c r="D458" s="97" t="str">
        <f t="shared" si="22"/>
        <v>Same k as rxn BR07</v>
      </c>
      <c r="E458" s="97"/>
      <c r="F458" s="97"/>
      <c r="G458" s="97"/>
      <c r="H458" s="39" t="s">
        <v>203</v>
      </c>
      <c r="I458" s="49" t="s">
        <v>44</v>
      </c>
      <c r="K458" s="116"/>
      <c r="L458" s="120"/>
      <c r="M458" s="117"/>
      <c r="N458" s="116"/>
      <c r="O458" s="117"/>
      <c r="P458" s="118"/>
      <c r="Q458" s="117"/>
      <c r="S458" s="40"/>
      <c r="T458" s="116"/>
      <c r="U458" s="117"/>
      <c r="V458" s="116"/>
      <c r="W458" s="116"/>
      <c r="X458" s="117"/>
      <c r="Y458" s="117"/>
    </row>
    <row r="459" spans="2:25" ht="15">
      <c r="B459" s="49" t="s">
        <v>874</v>
      </c>
      <c r="C459" s="14" t="s">
        <v>958</v>
      </c>
      <c r="D459" s="97" t="str">
        <f t="shared" si="22"/>
        <v>Same k as rxn BR08</v>
      </c>
      <c r="E459" s="97"/>
      <c r="F459" s="97"/>
      <c r="G459" s="97"/>
      <c r="H459" s="39" t="s">
        <v>203</v>
      </c>
      <c r="I459" s="49" t="s">
        <v>46</v>
      </c>
      <c r="K459" s="116"/>
      <c r="L459" s="120"/>
      <c r="M459" s="117"/>
      <c r="N459" s="116"/>
      <c r="O459" s="117"/>
      <c r="P459" s="118"/>
      <c r="Q459" s="117"/>
      <c r="S459" s="40"/>
      <c r="T459" s="116"/>
      <c r="U459" s="117"/>
      <c r="V459" s="116"/>
      <c r="W459" s="116"/>
      <c r="X459" s="117"/>
      <c r="Y459" s="117"/>
    </row>
    <row r="460" spans="2:25" ht="15">
      <c r="B460" s="49" t="s">
        <v>875</v>
      </c>
      <c r="C460" s="14" t="s">
        <v>960</v>
      </c>
      <c r="D460" s="97" t="str">
        <f t="shared" si="22"/>
        <v>Same k as rxn BR09</v>
      </c>
      <c r="E460" s="97"/>
      <c r="F460" s="97"/>
      <c r="G460" s="97"/>
      <c r="H460" s="39" t="s">
        <v>203</v>
      </c>
      <c r="I460" s="49" t="s">
        <v>48</v>
      </c>
      <c r="K460" s="116"/>
      <c r="L460" s="120"/>
      <c r="M460" s="117"/>
      <c r="N460" s="116"/>
      <c r="O460" s="117"/>
      <c r="P460" s="118"/>
      <c r="Q460" s="117"/>
      <c r="S460" s="40"/>
      <c r="T460" s="116"/>
      <c r="U460" s="117"/>
      <c r="V460" s="116"/>
      <c r="W460" s="116"/>
      <c r="X460" s="117"/>
      <c r="Y460" s="117"/>
    </row>
    <row r="461" spans="2:25" ht="25.5">
      <c r="B461" s="49" t="s">
        <v>876</v>
      </c>
      <c r="C461" s="14" t="s">
        <v>1251</v>
      </c>
      <c r="D461" s="97" t="str">
        <f t="shared" si="22"/>
        <v>Same k as rxn BR10</v>
      </c>
      <c r="E461" s="97"/>
      <c r="F461" s="97"/>
      <c r="G461" s="97"/>
      <c r="H461" s="39" t="s">
        <v>203</v>
      </c>
      <c r="I461" s="49" t="s">
        <v>50</v>
      </c>
      <c r="K461" s="116"/>
      <c r="L461" s="120"/>
      <c r="M461" s="117"/>
      <c r="N461" s="116"/>
      <c r="O461" s="117"/>
      <c r="P461" s="118"/>
      <c r="Q461" s="117"/>
      <c r="S461" s="40"/>
      <c r="T461" s="116"/>
      <c r="U461" s="117"/>
      <c r="V461" s="116"/>
      <c r="W461" s="116"/>
      <c r="X461" s="117"/>
      <c r="Y461" s="117"/>
    </row>
    <row r="462" spans="2:25" ht="25.5">
      <c r="B462" s="49" t="s">
        <v>877</v>
      </c>
      <c r="C462" s="14" t="s">
        <v>1252</v>
      </c>
      <c r="D462" s="97" t="str">
        <f t="shared" si="22"/>
        <v>Same k as rxn BR11</v>
      </c>
      <c r="E462" s="97"/>
      <c r="F462" s="97"/>
      <c r="G462" s="97"/>
      <c r="H462" s="39" t="s">
        <v>203</v>
      </c>
      <c r="I462" s="49" t="s">
        <v>52</v>
      </c>
      <c r="K462" s="116"/>
      <c r="L462" s="120"/>
      <c r="M462" s="117"/>
      <c r="N462" s="116"/>
      <c r="O462" s="117"/>
      <c r="P462" s="118"/>
      <c r="Q462" s="117"/>
      <c r="S462" s="40"/>
      <c r="T462" s="116"/>
      <c r="U462" s="117"/>
      <c r="V462" s="116"/>
      <c r="W462" s="116"/>
      <c r="X462" s="117"/>
      <c r="Y462" s="117"/>
    </row>
    <row r="463" spans="2:25" ht="25.5">
      <c r="B463" s="49" t="s">
        <v>879</v>
      </c>
      <c r="C463" s="14" t="s">
        <v>1253</v>
      </c>
      <c r="D463" s="97" t="str">
        <f t="shared" si="22"/>
        <v>Same k as rxn BR11</v>
      </c>
      <c r="E463" s="97"/>
      <c r="F463" s="97"/>
      <c r="G463" s="97"/>
      <c r="H463" s="39" t="s">
        <v>203</v>
      </c>
      <c r="I463" s="49" t="s">
        <v>52</v>
      </c>
      <c r="K463" s="116"/>
      <c r="L463" s="120"/>
      <c r="M463" s="117"/>
      <c r="N463" s="116"/>
      <c r="O463" s="117"/>
      <c r="P463" s="118"/>
      <c r="Q463" s="117"/>
      <c r="S463" s="40"/>
      <c r="T463" s="116"/>
      <c r="U463" s="117"/>
      <c r="V463" s="116"/>
      <c r="W463" s="116"/>
      <c r="X463" s="117"/>
      <c r="Y463" s="117"/>
    </row>
    <row r="464" spans="2:25" ht="15">
      <c r="B464" s="49" t="s">
        <v>881</v>
      </c>
      <c r="C464" s="14" t="s">
        <v>537</v>
      </c>
      <c r="D464" s="97" t="str">
        <f t="shared" si="22"/>
        <v>Same k as rxn BR25</v>
      </c>
      <c r="E464" s="97"/>
      <c r="F464" s="97"/>
      <c r="G464" s="97"/>
      <c r="H464" s="39" t="s">
        <v>203</v>
      </c>
      <c r="I464" s="49" t="s">
        <v>81</v>
      </c>
      <c r="K464" s="116"/>
      <c r="L464" s="120"/>
      <c r="M464" s="117"/>
      <c r="N464" s="116"/>
      <c r="O464" s="117"/>
      <c r="P464" s="118"/>
      <c r="Q464" s="117"/>
      <c r="S464" s="40"/>
      <c r="T464" s="116"/>
      <c r="U464" s="117"/>
      <c r="V464" s="116"/>
      <c r="W464" s="116"/>
      <c r="X464" s="117"/>
      <c r="Y464" s="117"/>
    </row>
    <row r="465" spans="2:25" ht="15">
      <c r="B465" s="49" t="s">
        <v>883</v>
      </c>
      <c r="C465" s="14" t="s">
        <v>538</v>
      </c>
      <c r="D465" s="97" t="str">
        <f t="shared" si="22"/>
        <v>Same k as rxn BR25</v>
      </c>
      <c r="E465" s="97"/>
      <c r="F465" s="97"/>
      <c r="G465" s="97"/>
      <c r="H465" s="39" t="s">
        <v>203</v>
      </c>
      <c r="I465" s="49" t="s">
        <v>81</v>
      </c>
      <c r="K465" s="116"/>
      <c r="L465" s="120"/>
      <c r="M465" s="117"/>
      <c r="N465" s="116"/>
      <c r="O465" s="117"/>
      <c r="P465" s="118"/>
      <c r="Q465" s="117"/>
      <c r="S465" s="40"/>
      <c r="T465" s="116"/>
      <c r="U465" s="117"/>
      <c r="V465" s="116"/>
      <c r="W465" s="116"/>
      <c r="X465" s="117"/>
      <c r="Y465" s="117"/>
    </row>
    <row r="466" spans="2:25" ht="15">
      <c r="B466" s="49" t="s">
        <v>884</v>
      </c>
      <c r="C466" s="14" t="s">
        <v>539</v>
      </c>
      <c r="D466" s="97" t="str">
        <f t="shared" si="22"/>
        <v>Same k as rxn BR25</v>
      </c>
      <c r="E466" s="97"/>
      <c r="F466" s="97"/>
      <c r="G466" s="97"/>
      <c r="H466" s="39" t="s">
        <v>203</v>
      </c>
      <c r="I466" s="49" t="s">
        <v>81</v>
      </c>
      <c r="K466" s="116"/>
      <c r="L466" s="120"/>
      <c r="M466" s="117"/>
      <c r="N466" s="116"/>
      <c r="O466" s="117"/>
      <c r="P466" s="118"/>
      <c r="Q466" s="117"/>
      <c r="S466" s="40"/>
      <c r="T466" s="116"/>
      <c r="U466" s="117"/>
      <c r="V466" s="116"/>
      <c r="W466" s="116"/>
      <c r="X466" s="117"/>
      <c r="Y466" s="117"/>
    </row>
    <row r="467" spans="2:25" ht="15">
      <c r="B467" s="49" t="s">
        <v>885</v>
      </c>
      <c r="C467" s="14" t="s">
        <v>540</v>
      </c>
      <c r="D467" s="97" t="str">
        <f aca="true" t="shared" si="23" ref="D467:D507">IF(H467="QS",CONCATENATE("Same k as rxn ",I467),H467)</f>
        <v>Same k as rxn BR25</v>
      </c>
      <c r="E467" s="97"/>
      <c r="F467" s="97"/>
      <c r="G467" s="97"/>
      <c r="H467" s="39" t="s">
        <v>203</v>
      </c>
      <c r="I467" s="49" t="s">
        <v>81</v>
      </c>
      <c r="K467" s="116"/>
      <c r="L467" s="120"/>
      <c r="M467" s="117"/>
      <c r="N467" s="116"/>
      <c r="O467" s="117"/>
      <c r="P467" s="118"/>
      <c r="Q467" s="117"/>
      <c r="S467" s="40"/>
      <c r="T467" s="116"/>
      <c r="U467" s="117"/>
      <c r="V467" s="116"/>
      <c r="W467" s="116"/>
      <c r="X467" s="117"/>
      <c r="Y467" s="117"/>
    </row>
    <row r="468" spans="2:25" ht="15">
      <c r="B468" s="49" t="s">
        <v>886</v>
      </c>
      <c r="C468" s="14" t="s">
        <v>969</v>
      </c>
      <c r="D468" s="97" t="str">
        <f>IF(H468="QS",CONCATENATE("Same k as rxn ",I468),H468)</f>
        <v>Same k as rxn BR07</v>
      </c>
      <c r="E468" s="97"/>
      <c r="F468" s="97"/>
      <c r="G468" s="97"/>
      <c r="H468" s="39" t="s">
        <v>203</v>
      </c>
      <c r="I468" s="49" t="s">
        <v>44</v>
      </c>
      <c r="K468" s="116"/>
      <c r="L468" s="120"/>
      <c r="M468" s="117"/>
      <c r="N468" s="116"/>
      <c r="O468" s="117"/>
      <c r="P468" s="118"/>
      <c r="Q468" s="117"/>
      <c r="S468" s="40"/>
      <c r="T468" s="116"/>
      <c r="U468" s="117"/>
      <c r="V468" s="116"/>
      <c r="W468" s="116"/>
      <c r="X468" s="117"/>
      <c r="Y468" s="117"/>
    </row>
    <row r="469" spans="2:25" ht="15">
      <c r="B469" s="49" t="s">
        <v>887</v>
      </c>
      <c r="C469" s="14" t="s">
        <v>971</v>
      </c>
      <c r="D469" s="97" t="str">
        <f t="shared" si="23"/>
        <v>Same k as rxn BR08</v>
      </c>
      <c r="E469" s="97"/>
      <c r="F469" s="97"/>
      <c r="G469" s="97"/>
      <c r="H469" s="39" t="s">
        <v>203</v>
      </c>
      <c r="I469" s="49" t="s">
        <v>46</v>
      </c>
      <c r="K469" s="116"/>
      <c r="L469" s="120"/>
      <c r="M469" s="117"/>
      <c r="N469" s="116"/>
      <c r="O469" s="117"/>
      <c r="P469" s="118"/>
      <c r="Q469" s="117"/>
      <c r="S469" s="40"/>
      <c r="T469" s="116"/>
      <c r="U469" s="117"/>
      <c r="V469" s="116"/>
      <c r="W469" s="116"/>
      <c r="X469" s="117"/>
      <c r="Y469" s="117"/>
    </row>
    <row r="470" spans="2:25" ht="15">
      <c r="B470" s="49" t="s">
        <v>888</v>
      </c>
      <c r="C470" s="14" t="s">
        <v>973</v>
      </c>
      <c r="D470" s="97" t="str">
        <f t="shared" si="23"/>
        <v>Same k as rxn BR09</v>
      </c>
      <c r="E470" s="97"/>
      <c r="F470" s="97"/>
      <c r="G470" s="97"/>
      <c r="H470" s="39" t="s">
        <v>203</v>
      </c>
      <c r="I470" s="49" t="s">
        <v>48</v>
      </c>
      <c r="K470" s="116"/>
      <c r="L470" s="120"/>
      <c r="M470" s="117"/>
      <c r="N470" s="116"/>
      <c r="O470" s="117"/>
      <c r="P470" s="118"/>
      <c r="Q470" s="117"/>
      <c r="S470" s="40"/>
      <c r="T470" s="116"/>
      <c r="U470" s="117"/>
      <c r="V470" s="116"/>
      <c r="W470" s="116"/>
      <c r="X470" s="117"/>
      <c r="Y470" s="117"/>
    </row>
    <row r="471" spans="2:25" ht="25.5">
      <c r="B471" s="49" t="s">
        <v>889</v>
      </c>
      <c r="C471" s="14" t="s">
        <v>1254</v>
      </c>
      <c r="D471" s="97" t="str">
        <f t="shared" si="23"/>
        <v>Same k as rxn BR10</v>
      </c>
      <c r="E471" s="97"/>
      <c r="F471" s="97"/>
      <c r="G471" s="97"/>
      <c r="H471" s="39" t="s">
        <v>203</v>
      </c>
      <c r="I471" s="49" t="s">
        <v>50</v>
      </c>
      <c r="K471" s="116"/>
      <c r="L471" s="120"/>
      <c r="M471" s="117"/>
      <c r="N471" s="116"/>
      <c r="O471" s="117"/>
      <c r="P471" s="118"/>
      <c r="Q471" s="117"/>
      <c r="S471" s="40"/>
      <c r="T471" s="116"/>
      <c r="U471" s="117"/>
      <c r="V471" s="116"/>
      <c r="W471" s="116"/>
      <c r="X471" s="117"/>
      <c r="Y471" s="117"/>
    </row>
    <row r="472" spans="2:25" ht="25.5">
      <c r="B472" s="49" t="s">
        <v>890</v>
      </c>
      <c r="C472" s="14" t="s">
        <v>1255</v>
      </c>
      <c r="D472" s="97" t="str">
        <f t="shared" si="23"/>
        <v>Same k as rxn BR11</v>
      </c>
      <c r="E472" s="97"/>
      <c r="F472" s="97"/>
      <c r="G472" s="97"/>
      <c r="H472" s="39" t="s">
        <v>203</v>
      </c>
      <c r="I472" s="49" t="s">
        <v>52</v>
      </c>
      <c r="K472" s="116"/>
      <c r="L472" s="120"/>
      <c r="M472" s="117"/>
      <c r="N472" s="116"/>
      <c r="O472" s="117"/>
      <c r="P472" s="118"/>
      <c r="Q472" s="117"/>
      <c r="S472" s="40"/>
      <c r="T472" s="116"/>
      <c r="U472" s="117"/>
      <c r="V472" s="116"/>
      <c r="W472" s="116"/>
      <c r="X472" s="117"/>
      <c r="Y472" s="117"/>
    </row>
    <row r="473" spans="2:25" ht="25.5">
      <c r="B473" s="49" t="s">
        <v>892</v>
      </c>
      <c r="C473" s="14" t="s">
        <v>1256</v>
      </c>
      <c r="D473" s="97" t="str">
        <f t="shared" si="23"/>
        <v>Same k as rxn BR11</v>
      </c>
      <c r="E473" s="97"/>
      <c r="F473" s="97"/>
      <c r="G473" s="97"/>
      <c r="H473" s="39" t="s">
        <v>203</v>
      </c>
      <c r="I473" s="49" t="s">
        <v>52</v>
      </c>
      <c r="K473" s="116"/>
      <c r="L473" s="120"/>
      <c r="M473" s="117"/>
      <c r="N473" s="116"/>
      <c r="O473" s="117"/>
      <c r="P473" s="118"/>
      <c r="Q473" s="117"/>
      <c r="S473" s="40"/>
      <c r="T473" s="116"/>
      <c r="U473" s="117"/>
      <c r="V473" s="116"/>
      <c r="W473" s="116"/>
      <c r="X473" s="117"/>
      <c r="Y473" s="117"/>
    </row>
    <row r="474" spans="2:25" ht="15">
      <c r="B474" s="49" t="s">
        <v>894</v>
      </c>
      <c r="C474" s="14" t="s">
        <v>541</v>
      </c>
      <c r="D474" s="97" t="str">
        <f t="shared" si="23"/>
        <v>Same k as rxn BR25</v>
      </c>
      <c r="E474" s="97"/>
      <c r="F474" s="97"/>
      <c r="G474" s="97"/>
      <c r="H474" s="39" t="s">
        <v>203</v>
      </c>
      <c r="I474" s="49" t="s">
        <v>81</v>
      </c>
      <c r="K474" s="116"/>
      <c r="L474" s="120"/>
      <c r="M474" s="117"/>
      <c r="N474" s="116"/>
      <c r="O474" s="117"/>
      <c r="P474" s="118"/>
      <c r="Q474" s="117"/>
      <c r="S474" s="40"/>
      <c r="T474" s="116"/>
      <c r="U474" s="117"/>
      <c r="V474" s="116"/>
      <c r="W474" s="116"/>
      <c r="X474" s="117"/>
      <c r="Y474" s="117"/>
    </row>
    <row r="475" spans="2:25" ht="15">
      <c r="B475" s="49" t="s">
        <v>896</v>
      </c>
      <c r="C475" s="14" t="s">
        <v>542</v>
      </c>
      <c r="D475" s="97" t="str">
        <f t="shared" si="23"/>
        <v>Same k as rxn BR25</v>
      </c>
      <c r="E475" s="97"/>
      <c r="F475" s="97"/>
      <c r="G475" s="97"/>
      <c r="H475" s="39" t="s">
        <v>203</v>
      </c>
      <c r="I475" s="49" t="s">
        <v>81</v>
      </c>
      <c r="K475" s="116"/>
      <c r="L475" s="120"/>
      <c r="M475" s="117"/>
      <c r="N475" s="116"/>
      <c r="O475" s="117"/>
      <c r="P475" s="118"/>
      <c r="Q475" s="117"/>
      <c r="S475" s="40"/>
      <c r="T475" s="116"/>
      <c r="U475" s="117"/>
      <c r="V475" s="116"/>
      <c r="W475" s="116"/>
      <c r="X475" s="117"/>
      <c r="Y475" s="117"/>
    </row>
    <row r="476" spans="2:25" ht="15">
      <c r="B476" s="49" t="s">
        <v>897</v>
      </c>
      <c r="C476" s="14" t="s">
        <v>543</v>
      </c>
      <c r="D476" s="97" t="str">
        <f t="shared" si="23"/>
        <v>Same k as rxn BR25</v>
      </c>
      <c r="E476" s="97"/>
      <c r="F476" s="97"/>
      <c r="G476" s="97"/>
      <c r="H476" s="39" t="s">
        <v>203</v>
      </c>
      <c r="I476" s="49" t="s">
        <v>81</v>
      </c>
      <c r="K476" s="116"/>
      <c r="L476" s="120"/>
      <c r="M476" s="117"/>
      <c r="N476" s="116"/>
      <c r="O476" s="117"/>
      <c r="P476" s="118"/>
      <c r="Q476" s="117"/>
      <c r="S476" s="40"/>
      <c r="T476" s="116"/>
      <c r="U476" s="117"/>
      <c r="V476" s="116"/>
      <c r="W476" s="116"/>
      <c r="X476" s="117"/>
      <c r="Y476" s="117"/>
    </row>
    <row r="477" spans="2:25" ht="15">
      <c r="B477" s="49" t="s">
        <v>898</v>
      </c>
      <c r="C477" s="14" t="s">
        <v>544</v>
      </c>
      <c r="D477" s="97" t="str">
        <f t="shared" si="23"/>
        <v>Same k as rxn BR25</v>
      </c>
      <c r="E477" s="97"/>
      <c r="F477" s="97"/>
      <c r="G477" s="97"/>
      <c r="H477" s="39" t="s">
        <v>203</v>
      </c>
      <c r="I477" s="49" t="s">
        <v>81</v>
      </c>
      <c r="K477" s="116"/>
      <c r="L477" s="120"/>
      <c r="M477" s="117"/>
      <c r="N477" s="116"/>
      <c r="O477" s="117"/>
      <c r="P477" s="118"/>
      <c r="Q477" s="117"/>
      <c r="S477" s="40"/>
      <c r="T477" s="116"/>
      <c r="U477" s="117"/>
      <c r="V477" s="116"/>
      <c r="W477" s="116"/>
      <c r="X477" s="117"/>
      <c r="Y477" s="117"/>
    </row>
    <row r="478" spans="2:25" ht="15">
      <c r="B478" s="49" t="s">
        <v>899</v>
      </c>
      <c r="C478" s="14" t="s">
        <v>982</v>
      </c>
      <c r="D478" s="97" t="str">
        <f t="shared" si="23"/>
        <v>Same k as rxn BR07</v>
      </c>
      <c r="E478" s="97"/>
      <c r="F478" s="97"/>
      <c r="G478" s="97"/>
      <c r="H478" s="39" t="s">
        <v>203</v>
      </c>
      <c r="I478" s="49" t="s">
        <v>44</v>
      </c>
      <c r="K478" s="116"/>
      <c r="L478" s="120"/>
      <c r="M478" s="117"/>
      <c r="N478" s="116"/>
      <c r="O478" s="117"/>
      <c r="P478" s="118"/>
      <c r="Q478" s="117"/>
      <c r="S478" s="40"/>
      <c r="T478" s="116"/>
      <c r="U478" s="117"/>
      <c r="V478" s="116"/>
      <c r="W478" s="116"/>
      <c r="X478" s="117"/>
      <c r="Y478" s="117"/>
    </row>
    <row r="479" spans="2:25" ht="15">
      <c r="B479" s="49" t="s">
        <v>900</v>
      </c>
      <c r="C479" s="14" t="s">
        <v>984</v>
      </c>
      <c r="D479" s="97" t="str">
        <f t="shared" si="23"/>
        <v>Same k as rxn BR08</v>
      </c>
      <c r="E479" s="97"/>
      <c r="F479" s="97"/>
      <c r="G479" s="97"/>
      <c r="H479" s="39" t="s">
        <v>203</v>
      </c>
      <c r="I479" s="49" t="s">
        <v>46</v>
      </c>
      <c r="K479" s="116"/>
      <c r="L479" s="120"/>
      <c r="M479" s="117"/>
      <c r="N479" s="116"/>
      <c r="O479" s="117"/>
      <c r="P479" s="118"/>
      <c r="Q479" s="117"/>
      <c r="S479" s="40"/>
      <c r="T479" s="116"/>
      <c r="U479" s="117"/>
      <c r="V479" s="116"/>
      <c r="W479" s="116"/>
      <c r="X479" s="117"/>
      <c r="Y479" s="117"/>
    </row>
    <row r="480" spans="2:25" ht="15">
      <c r="B480" s="49" t="s">
        <v>901</v>
      </c>
      <c r="C480" s="14" t="s">
        <v>986</v>
      </c>
      <c r="D480" s="97" t="str">
        <f t="shared" si="23"/>
        <v>Same k as rxn BR09</v>
      </c>
      <c r="E480" s="97"/>
      <c r="F480" s="97"/>
      <c r="G480" s="97"/>
      <c r="H480" s="39" t="s">
        <v>203</v>
      </c>
      <c r="I480" s="49" t="s">
        <v>48</v>
      </c>
      <c r="K480" s="116"/>
      <c r="L480" s="120"/>
      <c r="M480" s="117"/>
      <c r="N480" s="116"/>
      <c r="O480" s="117"/>
      <c r="P480" s="118"/>
      <c r="Q480" s="117"/>
      <c r="S480" s="40"/>
      <c r="T480" s="116"/>
      <c r="U480" s="117"/>
      <c r="V480" s="116"/>
      <c r="W480" s="116"/>
      <c r="X480" s="117"/>
      <c r="Y480" s="117"/>
    </row>
    <row r="481" spans="2:25" ht="15">
      <c r="B481" s="49" t="s">
        <v>902</v>
      </c>
      <c r="C481" s="14" t="s">
        <v>1257</v>
      </c>
      <c r="D481" s="97" t="str">
        <f t="shared" si="23"/>
        <v>Same k as rxn BR10</v>
      </c>
      <c r="E481" s="97"/>
      <c r="F481" s="97"/>
      <c r="G481" s="97"/>
      <c r="H481" s="39" t="s">
        <v>203</v>
      </c>
      <c r="I481" s="49" t="s">
        <v>50</v>
      </c>
      <c r="K481" s="116"/>
      <c r="L481" s="120"/>
      <c r="M481" s="117"/>
      <c r="N481" s="116"/>
      <c r="O481" s="117"/>
      <c r="P481" s="118"/>
      <c r="Q481" s="117"/>
      <c r="S481" s="40"/>
      <c r="T481" s="116"/>
      <c r="U481" s="117"/>
      <c r="V481" s="116"/>
      <c r="W481" s="116"/>
      <c r="X481" s="117"/>
      <c r="Y481" s="117"/>
    </row>
    <row r="482" spans="2:25" ht="15">
      <c r="B482" s="49" t="s">
        <v>903</v>
      </c>
      <c r="C482" s="14" t="s">
        <v>1258</v>
      </c>
      <c r="D482" s="97" t="str">
        <f t="shared" si="23"/>
        <v>Same k as rxn BR11</v>
      </c>
      <c r="E482" s="97"/>
      <c r="F482" s="97"/>
      <c r="G482" s="97"/>
      <c r="H482" s="39" t="s">
        <v>203</v>
      </c>
      <c r="I482" s="49" t="s">
        <v>52</v>
      </c>
      <c r="K482" s="116"/>
      <c r="L482" s="120"/>
      <c r="M482" s="117"/>
      <c r="N482" s="116"/>
      <c r="O482" s="117"/>
      <c r="P482" s="118"/>
      <c r="Q482" s="117"/>
      <c r="S482" s="40"/>
      <c r="T482" s="116"/>
      <c r="U482" s="117"/>
      <c r="V482" s="116"/>
      <c r="W482" s="116"/>
      <c r="X482" s="117"/>
      <c r="Y482" s="117"/>
    </row>
    <row r="483" spans="2:25" ht="15">
      <c r="B483" s="49" t="s">
        <v>905</v>
      </c>
      <c r="C483" s="14" t="s">
        <v>1259</v>
      </c>
      <c r="D483" s="97" t="str">
        <f t="shared" si="23"/>
        <v>Same k as rxn BR11</v>
      </c>
      <c r="E483" s="97"/>
      <c r="F483" s="97"/>
      <c r="G483" s="97"/>
      <c r="H483" s="39" t="s">
        <v>203</v>
      </c>
      <c r="I483" s="49" t="s">
        <v>52</v>
      </c>
      <c r="K483" s="116"/>
      <c r="L483" s="120"/>
      <c r="M483" s="117"/>
      <c r="N483" s="116"/>
      <c r="O483" s="117"/>
      <c r="P483" s="118"/>
      <c r="Q483" s="117"/>
      <c r="S483" s="40"/>
      <c r="T483" s="116"/>
      <c r="U483" s="117"/>
      <c r="V483" s="116"/>
      <c r="W483" s="116"/>
      <c r="X483" s="117"/>
      <c r="Y483" s="117"/>
    </row>
    <row r="484" spans="2:25" ht="15">
      <c r="B484" s="49" t="s">
        <v>907</v>
      </c>
      <c r="C484" s="14" t="s">
        <v>545</v>
      </c>
      <c r="D484" s="97" t="str">
        <f t="shared" si="23"/>
        <v>Same k as rxn BR25</v>
      </c>
      <c r="E484" s="97"/>
      <c r="F484" s="97"/>
      <c r="G484" s="97"/>
      <c r="H484" s="39" t="s">
        <v>203</v>
      </c>
      <c r="I484" s="49" t="s">
        <v>81</v>
      </c>
      <c r="K484" s="116"/>
      <c r="L484" s="120"/>
      <c r="M484" s="117"/>
      <c r="N484" s="116"/>
      <c r="O484" s="117"/>
      <c r="P484" s="118"/>
      <c r="Q484" s="117"/>
      <c r="S484" s="40"/>
      <c r="T484" s="116"/>
      <c r="U484" s="117"/>
      <c r="V484" s="116"/>
      <c r="W484" s="116"/>
      <c r="X484" s="117"/>
      <c r="Y484" s="117"/>
    </row>
    <row r="485" spans="2:25" ht="15">
      <c r="B485" s="49" t="s">
        <v>909</v>
      </c>
      <c r="C485" s="14" t="s">
        <v>546</v>
      </c>
      <c r="D485" s="97" t="str">
        <f t="shared" si="23"/>
        <v>Same k as rxn BR25</v>
      </c>
      <c r="E485" s="97"/>
      <c r="F485" s="97"/>
      <c r="G485" s="97"/>
      <c r="H485" s="39" t="s">
        <v>203</v>
      </c>
      <c r="I485" s="49" t="s">
        <v>81</v>
      </c>
      <c r="K485" s="116"/>
      <c r="L485" s="120"/>
      <c r="M485" s="117"/>
      <c r="N485" s="116"/>
      <c r="O485" s="117"/>
      <c r="P485" s="118"/>
      <c r="Q485" s="117"/>
      <c r="S485" s="40"/>
      <c r="T485" s="116"/>
      <c r="U485" s="117"/>
      <c r="V485" s="116"/>
      <c r="W485" s="116"/>
      <c r="X485" s="117"/>
      <c r="Y485" s="117"/>
    </row>
    <row r="486" spans="2:25" ht="15">
      <c r="B486" s="49" t="s">
        <v>910</v>
      </c>
      <c r="C486" s="14" t="s">
        <v>547</v>
      </c>
      <c r="D486" s="97" t="str">
        <f t="shared" si="23"/>
        <v>Same k as rxn BR25</v>
      </c>
      <c r="E486" s="97"/>
      <c r="F486" s="97"/>
      <c r="G486" s="97"/>
      <c r="H486" s="39" t="s">
        <v>203</v>
      </c>
      <c r="I486" s="49" t="s">
        <v>81</v>
      </c>
      <c r="K486" s="116"/>
      <c r="L486" s="120"/>
      <c r="M486" s="117"/>
      <c r="N486" s="116"/>
      <c r="O486" s="117"/>
      <c r="P486" s="118"/>
      <c r="Q486" s="117"/>
      <c r="S486" s="40"/>
      <c r="T486" s="116"/>
      <c r="U486" s="117"/>
      <c r="V486" s="116"/>
      <c r="W486" s="116"/>
      <c r="X486" s="117"/>
      <c r="Y486" s="117"/>
    </row>
    <row r="487" spans="2:25" ht="15">
      <c r="B487" s="49" t="s">
        <v>911</v>
      </c>
      <c r="C487" s="14" t="s">
        <v>548</v>
      </c>
      <c r="D487" s="97" t="str">
        <f t="shared" si="23"/>
        <v>Same k as rxn BR25</v>
      </c>
      <c r="E487" s="97"/>
      <c r="F487" s="97"/>
      <c r="G487" s="97"/>
      <c r="H487" s="39" t="s">
        <v>203</v>
      </c>
      <c r="I487" s="49" t="s">
        <v>81</v>
      </c>
      <c r="K487" s="116"/>
      <c r="L487" s="120"/>
      <c r="M487" s="117"/>
      <c r="N487" s="116"/>
      <c r="O487" s="117"/>
      <c r="P487" s="118"/>
      <c r="Q487" s="117"/>
      <c r="S487" s="40"/>
      <c r="T487" s="116"/>
      <c r="U487" s="117"/>
      <c r="V487" s="116"/>
      <c r="W487" s="116"/>
      <c r="X487" s="117"/>
      <c r="Y487" s="117"/>
    </row>
    <row r="488" spans="2:25" ht="15">
      <c r="B488" s="49" t="s">
        <v>912</v>
      </c>
      <c r="C488" s="14" t="s">
        <v>995</v>
      </c>
      <c r="D488" s="97" t="str">
        <f t="shared" si="23"/>
        <v>Same k as rxn BR07</v>
      </c>
      <c r="E488" s="97"/>
      <c r="F488" s="97"/>
      <c r="G488" s="97"/>
      <c r="H488" s="39" t="s">
        <v>203</v>
      </c>
      <c r="I488" s="49" t="s">
        <v>44</v>
      </c>
      <c r="K488" s="116"/>
      <c r="L488" s="120"/>
      <c r="M488" s="117"/>
      <c r="N488" s="116"/>
      <c r="O488" s="117"/>
      <c r="P488" s="118"/>
      <c r="Q488" s="117"/>
      <c r="S488" s="40"/>
      <c r="T488" s="116"/>
      <c r="U488" s="117"/>
      <c r="V488" s="116"/>
      <c r="W488" s="116"/>
      <c r="X488" s="117"/>
      <c r="Y488" s="117"/>
    </row>
    <row r="489" spans="2:25" ht="15">
      <c r="B489" s="49" t="s">
        <v>913</v>
      </c>
      <c r="C489" s="14" t="s">
        <v>997</v>
      </c>
      <c r="D489" s="97" t="str">
        <f t="shared" si="23"/>
        <v>Same k as rxn BR08</v>
      </c>
      <c r="E489" s="97"/>
      <c r="F489" s="97"/>
      <c r="G489" s="97"/>
      <c r="H489" s="39" t="s">
        <v>203</v>
      </c>
      <c r="I489" s="49" t="s">
        <v>46</v>
      </c>
      <c r="K489" s="116"/>
      <c r="L489" s="120"/>
      <c r="M489" s="117"/>
      <c r="N489" s="116"/>
      <c r="O489" s="117"/>
      <c r="P489" s="118"/>
      <c r="Q489" s="117"/>
      <c r="S489" s="40"/>
      <c r="T489" s="116"/>
      <c r="U489" s="117"/>
      <c r="V489" s="116"/>
      <c r="W489" s="116"/>
      <c r="X489" s="117"/>
      <c r="Y489" s="117"/>
    </row>
    <row r="490" spans="2:25" ht="15">
      <c r="B490" s="49" t="s">
        <v>914</v>
      </c>
      <c r="C490" s="14" t="s">
        <v>999</v>
      </c>
      <c r="D490" s="97" t="str">
        <f t="shared" si="23"/>
        <v>Same k as rxn BR09</v>
      </c>
      <c r="E490" s="97"/>
      <c r="F490" s="97"/>
      <c r="G490" s="97"/>
      <c r="H490" s="39" t="s">
        <v>203</v>
      </c>
      <c r="I490" s="49" t="s">
        <v>48</v>
      </c>
      <c r="K490" s="116"/>
      <c r="L490" s="120"/>
      <c r="M490" s="117"/>
      <c r="N490" s="116"/>
      <c r="O490" s="117"/>
      <c r="P490" s="118"/>
      <c r="Q490" s="117"/>
      <c r="S490" s="40"/>
      <c r="T490" s="116"/>
      <c r="U490" s="117"/>
      <c r="V490" s="116"/>
      <c r="W490" s="116"/>
      <c r="X490" s="117"/>
      <c r="Y490" s="117"/>
    </row>
    <row r="491" spans="2:25" ht="25.5">
      <c r="B491" s="49" t="s">
        <v>915</v>
      </c>
      <c r="C491" s="14" t="s">
        <v>1260</v>
      </c>
      <c r="D491" s="97" t="str">
        <f t="shared" si="23"/>
        <v>Same k as rxn BR10</v>
      </c>
      <c r="E491" s="97"/>
      <c r="F491" s="97"/>
      <c r="G491" s="97"/>
      <c r="H491" s="39" t="s">
        <v>203</v>
      </c>
      <c r="I491" s="49" t="s">
        <v>50</v>
      </c>
      <c r="K491" s="116"/>
      <c r="L491" s="120"/>
      <c r="M491" s="117"/>
      <c r="N491" s="116"/>
      <c r="O491" s="117"/>
      <c r="P491" s="118"/>
      <c r="Q491" s="117"/>
      <c r="S491" s="40"/>
      <c r="T491" s="116"/>
      <c r="U491" s="117"/>
      <c r="V491" s="116"/>
      <c r="W491" s="116"/>
      <c r="X491" s="117"/>
      <c r="Y491" s="117"/>
    </row>
    <row r="492" spans="2:25" ht="15">
      <c r="B492" s="49" t="s">
        <v>916</v>
      </c>
      <c r="C492" s="14" t="s">
        <v>1261</v>
      </c>
      <c r="D492" s="97" t="str">
        <f t="shared" si="23"/>
        <v>Same k as rxn BR11</v>
      </c>
      <c r="E492" s="97"/>
      <c r="F492" s="97"/>
      <c r="G492" s="97"/>
      <c r="H492" s="39" t="s">
        <v>203</v>
      </c>
      <c r="I492" s="49" t="s">
        <v>52</v>
      </c>
      <c r="K492" s="116"/>
      <c r="L492" s="120"/>
      <c r="M492" s="117"/>
      <c r="N492" s="116"/>
      <c r="O492" s="117"/>
      <c r="P492" s="118"/>
      <c r="Q492" s="117"/>
      <c r="S492" s="40"/>
      <c r="T492" s="116"/>
      <c r="U492" s="117"/>
      <c r="V492" s="116"/>
      <c r="W492" s="116"/>
      <c r="X492" s="117"/>
      <c r="Y492" s="117"/>
    </row>
    <row r="493" spans="2:25" ht="25.5">
      <c r="B493" s="49" t="s">
        <v>918</v>
      </c>
      <c r="C493" s="14" t="s">
        <v>1262</v>
      </c>
      <c r="D493" s="97" t="str">
        <f t="shared" si="23"/>
        <v>Same k as rxn BR11</v>
      </c>
      <c r="E493" s="97"/>
      <c r="F493" s="97"/>
      <c r="G493" s="97"/>
      <c r="H493" s="39" t="s">
        <v>203</v>
      </c>
      <c r="I493" s="49" t="s">
        <v>52</v>
      </c>
      <c r="K493" s="116"/>
      <c r="L493" s="120"/>
      <c r="M493" s="117"/>
      <c r="N493" s="116"/>
      <c r="O493" s="117"/>
      <c r="P493" s="118"/>
      <c r="Q493" s="117"/>
      <c r="S493" s="40"/>
      <c r="T493" s="116"/>
      <c r="U493" s="117"/>
      <c r="V493" s="116"/>
      <c r="W493" s="116"/>
      <c r="X493" s="117"/>
      <c r="Y493" s="117"/>
    </row>
    <row r="494" spans="2:25" ht="15">
      <c r="B494" s="49" t="s">
        <v>920</v>
      </c>
      <c r="C494" s="14" t="s">
        <v>549</v>
      </c>
      <c r="D494" s="97" t="str">
        <f t="shared" si="23"/>
        <v>Same k as rxn BR25</v>
      </c>
      <c r="E494" s="97"/>
      <c r="F494" s="97"/>
      <c r="G494" s="97"/>
      <c r="H494" s="39" t="s">
        <v>203</v>
      </c>
      <c r="I494" s="49" t="s">
        <v>81</v>
      </c>
      <c r="K494" s="116"/>
      <c r="L494" s="120"/>
      <c r="M494" s="117"/>
      <c r="N494" s="116"/>
      <c r="O494" s="117"/>
      <c r="P494" s="118"/>
      <c r="Q494" s="117"/>
      <c r="S494" s="40"/>
      <c r="T494" s="116"/>
      <c r="U494" s="117"/>
      <c r="V494" s="116"/>
      <c r="W494" s="116"/>
      <c r="X494" s="117"/>
      <c r="Y494" s="117"/>
    </row>
    <row r="495" spans="2:25" ht="15">
      <c r="B495" s="49" t="s">
        <v>922</v>
      </c>
      <c r="C495" s="14" t="s">
        <v>550</v>
      </c>
      <c r="D495" s="97" t="str">
        <f t="shared" si="23"/>
        <v>Same k as rxn BR25</v>
      </c>
      <c r="E495" s="97"/>
      <c r="F495" s="97"/>
      <c r="G495" s="97"/>
      <c r="H495" s="39" t="s">
        <v>203</v>
      </c>
      <c r="I495" s="49" t="s">
        <v>81</v>
      </c>
      <c r="K495" s="116"/>
      <c r="L495" s="120"/>
      <c r="M495" s="117"/>
      <c r="N495" s="116"/>
      <c r="O495" s="117"/>
      <c r="P495" s="118"/>
      <c r="Q495" s="117"/>
      <c r="S495" s="40"/>
      <c r="T495" s="116"/>
      <c r="U495" s="117"/>
      <c r="V495" s="116"/>
      <c r="W495" s="116"/>
      <c r="X495" s="117"/>
      <c r="Y495" s="117"/>
    </row>
    <row r="496" spans="2:25" ht="15">
      <c r="B496" s="49" t="s">
        <v>923</v>
      </c>
      <c r="C496" s="14" t="s">
        <v>551</v>
      </c>
      <c r="D496" s="97" t="str">
        <f t="shared" si="23"/>
        <v>Same k as rxn BR25</v>
      </c>
      <c r="E496" s="97"/>
      <c r="F496" s="97"/>
      <c r="G496" s="97"/>
      <c r="H496" s="39" t="s">
        <v>203</v>
      </c>
      <c r="I496" s="49" t="s">
        <v>81</v>
      </c>
      <c r="K496" s="116"/>
      <c r="L496" s="120"/>
      <c r="M496" s="117"/>
      <c r="N496" s="116"/>
      <c r="O496" s="117"/>
      <c r="P496" s="118"/>
      <c r="Q496" s="117"/>
      <c r="S496" s="40"/>
      <c r="T496" s="116"/>
      <c r="U496" s="117"/>
      <c r="V496" s="116"/>
      <c r="W496" s="116"/>
      <c r="X496" s="117"/>
      <c r="Y496" s="117"/>
    </row>
    <row r="497" spans="2:25" ht="15">
      <c r="B497" s="49" t="s">
        <v>924</v>
      </c>
      <c r="C497" s="14" t="s">
        <v>552</v>
      </c>
      <c r="D497" s="97" t="str">
        <f t="shared" si="23"/>
        <v>Same k as rxn BR25</v>
      </c>
      <c r="E497" s="97"/>
      <c r="F497" s="97"/>
      <c r="G497" s="97"/>
      <c r="H497" s="39" t="s">
        <v>203</v>
      </c>
      <c r="I497" s="49" t="s">
        <v>81</v>
      </c>
      <c r="K497" s="116"/>
      <c r="L497" s="120"/>
      <c r="M497" s="117"/>
      <c r="N497" s="116"/>
      <c r="O497" s="117"/>
      <c r="P497" s="118"/>
      <c r="Q497" s="117"/>
      <c r="S497" s="40"/>
      <c r="T497" s="116"/>
      <c r="U497" s="117"/>
      <c r="V497" s="116"/>
      <c r="W497" s="116"/>
      <c r="X497" s="117"/>
      <c r="Y497" s="117"/>
    </row>
    <row r="498" spans="2:25" ht="15">
      <c r="B498" s="49" t="s">
        <v>925</v>
      </c>
      <c r="C498" s="14" t="s">
        <v>1008</v>
      </c>
      <c r="D498" s="97" t="str">
        <f t="shared" si="23"/>
        <v>Same k as rxn BR07</v>
      </c>
      <c r="E498" s="97"/>
      <c r="F498" s="97"/>
      <c r="G498" s="97"/>
      <c r="H498" s="39" t="s">
        <v>203</v>
      </c>
      <c r="I498" s="49" t="s">
        <v>44</v>
      </c>
      <c r="K498" s="116"/>
      <c r="L498" s="120"/>
      <c r="M498" s="117"/>
      <c r="N498" s="116"/>
      <c r="O498" s="117"/>
      <c r="P498" s="118"/>
      <c r="Q498" s="117"/>
      <c r="S498" s="40"/>
      <c r="T498" s="116"/>
      <c r="U498" s="117"/>
      <c r="V498" s="116"/>
      <c r="W498" s="116"/>
      <c r="X498" s="117"/>
      <c r="Y498" s="117"/>
    </row>
    <row r="499" spans="2:25" ht="15">
      <c r="B499" s="49" t="s">
        <v>926</v>
      </c>
      <c r="C499" s="14" t="s">
        <v>1010</v>
      </c>
      <c r="D499" s="97" t="str">
        <f t="shared" si="23"/>
        <v>Same k as rxn BR08</v>
      </c>
      <c r="E499" s="97"/>
      <c r="F499" s="97"/>
      <c r="G499" s="97"/>
      <c r="H499" s="39" t="s">
        <v>203</v>
      </c>
      <c r="I499" s="49" t="s">
        <v>46</v>
      </c>
      <c r="K499" s="116"/>
      <c r="L499" s="120"/>
      <c r="M499" s="117"/>
      <c r="N499" s="116"/>
      <c r="O499" s="117"/>
      <c r="P499" s="118"/>
      <c r="Q499" s="117"/>
      <c r="S499" s="40"/>
      <c r="T499" s="116"/>
      <c r="U499" s="117"/>
      <c r="V499" s="116"/>
      <c r="W499" s="116"/>
      <c r="X499" s="117"/>
      <c r="Y499" s="117"/>
    </row>
    <row r="500" spans="2:25" ht="15">
      <c r="B500" s="49" t="s">
        <v>927</v>
      </c>
      <c r="C500" s="14" t="s">
        <v>1012</v>
      </c>
      <c r="D500" s="97" t="str">
        <f t="shared" si="23"/>
        <v>Same k as rxn BR09</v>
      </c>
      <c r="E500" s="97"/>
      <c r="F500" s="97"/>
      <c r="G500" s="97"/>
      <c r="H500" s="39" t="s">
        <v>203</v>
      </c>
      <c r="I500" s="49" t="s">
        <v>48</v>
      </c>
      <c r="K500" s="116"/>
      <c r="L500" s="120"/>
      <c r="M500" s="117"/>
      <c r="N500" s="116"/>
      <c r="O500" s="117"/>
      <c r="P500" s="118"/>
      <c r="Q500" s="117"/>
      <c r="S500" s="40"/>
      <c r="T500" s="116"/>
      <c r="U500" s="117"/>
      <c r="V500" s="116"/>
      <c r="W500" s="116"/>
      <c r="X500" s="117"/>
      <c r="Y500" s="117"/>
    </row>
    <row r="501" spans="2:25" ht="25.5">
      <c r="B501" s="49" t="s">
        <v>928</v>
      </c>
      <c r="C501" s="14" t="s">
        <v>1263</v>
      </c>
      <c r="D501" s="97" t="str">
        <f t="shared" si="23"/>
        <v>Same k as rxn BR10</v>
      </c>
      <c r="E501" s="97"/>
      <c r="F501" s="97"/>
      <c r="G501" s="97"/>
      <c r="H501" s="39" t="s">
        <v>203</v>
      </c>
      <c r="I501" s="49" t="s">
        <v>50</v>
      </c>
      <c r="K501" s="116"/>
      <c r="L501" s="120"/>
      <c r="M501" s="117"/>
      <c r="N501" s="116"/>
      <c r="O501" s="117"/>
      <c r="P501" s="118"/>
      <c r="Q501" s="117"/>
      <c r="S501" s="40"/>
      <c r="T501" s="116"/>
      <c r="U501" s="117"/>
      <c r="V501" s="116"/>
      <c r="W501" s="116"/>
      <c r="X501" s="117"/>
      <c r="Y501" s="117"/>
    </row>
    <row r="502" spans="2:25" ht="25.5">
      <c r="B502" s="49" t="s">
        <v>929</v>
      </c>
      <c r="C502" s="14" t="s">
        <v>1264</v>
      </c>
      <c r="D502" s="97" t="str">
        <f t="shared" si="23"/>
        <v>Same k as rxn BR11</v>
      </c>
      <c r="E502" s="97"/>
      <c r="F502" s="97"/>
      <c r="G502" s="97"/>
      <c r="H502" s="39" t="s">
        <v>203</v>
      </c>
      <c r="I502" s="49" t="s">
        <v>52</v>
      </c>
      <c r="K502" s="116"/>
      <c r="L502" s="120"/>
      <c r="M502" s="117"/>
      <c r="N502" s="116"/>
      <c r="O502" s="117"/>
      <c r="P502" s="118"/>
      <c r="Q502" s="117"/>
      <c r="S502" s="40"/>
      <c r="T502" s="116"/>
      <c r="U502" s="117"/>
      <c r="V502" s="116"/>
      <c r="W502" s="116"/>
      <c r="X502" s="117"/>
      <c r="Y502" s="117"/>
    </row>
    <row r="503" spans="2:25" ht="25.5">
      <c r="B503" s="49" t="s">
        <v>931</v>
      </c>
      <c r="C503" s="14" t="s">
        <v>1265</v>
      </c>
      <c r="D503" s="97" t="str">
        <f t="shared" si="23"/>
        <v>Same k as rxn BR11</v>
      </c>
      <c r="E503" s="97"/>
      <c r="F503" s="97"/>
      <c r="G503" s="97"/>
      <c r="H503" s="39" t="s">
        <v>203</v>
      </c>
      <c r="I503" s="49" t="s">
        <v>52</v>
      </c>
      <c r="K503" s="116"/>
      <c r="L503" s="120"/>
      <c r="M503" s="117"/>
      <c r="N503" s="116"/>
      <c r="O503" s="117"/>
      <c r="P503" s="118"/>
      <c r="Q503" s="117"/>
      <c r="S503" s="40"/>
      <c r="T503" s="116"/>
      <c r="U503" s="117"/>
      <c r="V503" s="116"/>
      <c r="W503" s="116"/>
      <c r="X503" s="117"/>
      <c r="Y503" s="117"/>
    </row>
    <row r="504" spans="2:25" ht="15">
      <c r="B504" s="49" t="s">
        <v>933</v>
      </c>
      <c r="C504" s="14" t="s">
        <v>553</v>
      </c>
      <c r="D504" s="97" t="str">
        <f t="shared" si="23"/>
        <v>Same k as rxn BR25</v>
      </c>
      <c r="E504" s="97"/>
      <c r="F504" s="97"/>
      <c r="G504" s="97"/>
      <c r="H504" s="39" t="s">
        <v>203</v>
      </c>
      <c r="I504" s="49" t="s">
        <v>81</v>
      </c>
      <c r="K504" s="116"/>
      <c r="L504" s="120"/>
      <c r="M504" s="117"/>
      <c r="N504" s="116"/>
      <c r="O504" s="117"/>
      <c r="P504" s="118"/>
      <c r="Q504" s="117"/>
      <c r="S504" s="40"/>
      <c r="T504" s="116"/>
      <c r="U504" s="117"/>
      <c r="V504" s="116"/>
      <c r="W504" s="116"/>
      <c r="X504" s="117"/>
      <c r="Y504" s="117"/>
    </row>
    <row r="505" spans="2:25" ht="15">
      <c r="B505" s="49" t="s">
        <v>935</v>
      </c>
      <c r="C505" s="14" t="s">
        <v>554</v>
      </c>
      <c r="D505" s="97" t="str">
        <f t="shared" si="23"/>
        <v>Same k as rxn BR25</v>
      </c>
      <c r="E505" s="97"/>
      <c r="F505" s="97"/>
      <c r="G505" s="97"/>
      <c r="H505" s="39" t="s">
        <v>203</v>
      </c>
      <c r="I505" s="49" t="s">
        <v>81</v>
      </c>
      <c r="K505" s="116"/>
      <c r="L505" s="120"/>
      <c r="M505" s="117"/>
      <c r="N505" s="116"/>
      <c r="O505" s="117"/>
      <c r="P505" s="118"/>
      <c r="Q505" s="117"/>
      <c r="S505" s="40"/>
      <c r="T505" s="116"/>
      <c r="U505" s="117"/>
      <c r="V505" s="116"/>
      <c r="W505" s="116"/>
      <c r="X505" s="117"/>
      <c r="Y505" s="117"/>
    </row>
    <row r="506" spans="2:25" ht="15">
      <c r="B506" s="49" t="s">
        <v>936</v>
      </c>
      <c r="C506" s="14" t="s">
        <v>555</v>
      </c>
      <c r="D506" s="97" t="str">
        <f t="shared" si="23"/>
        <v>Same k as rxn BR25</v>
      </c>
      <c r="E506" s="97"/>
      <c r="F506" s="97"/>
      <c r="G506" s="97"/>
      <c r="H506" s="39" t="s">
        <v>203</v>
      </c>
      <c r="I506" s="49" t="s">
        <v>81</v>
      </c>
      <c r="K506" s="116"/>
      <c r="L506" s="120"/>
      <c r="M506" s="117"/>
      <c r="N506" s="116"/>
      <c r="O506" s="117"/>
      <c r="P506" s="118"/>
      <c r="Q506" s="117"/>
      <c r="S506" s="40"/>
      <c r="T506" s="116"/>
      <c r="U506" s="117"/>
      <c r="V506" s="116"/>
      <c r="W506" s="116"/>
      <c r="X506" s="117"/>
      <c r="Y506" s="117"/>
    </row>
    <row r="507" spans="2:25" ht="15">
      <c r="B507" s="49" t="s">
        <v>937</v>
      </c>
      <c r="C507" s="14" t="s">
        <v>556</v>
      </c>
      <c r="D507" s="97" t="str">
        <f t="shared" si="23"/>
        <v>Same k as rxn BR25</v>
      </c>
      <c r="E507" s="97"/>
      <c r="F507" s="97"/>
      <c r="G507" s="97"/>
      <c r="H507" s="39" t="s">
        <v>203</v>
      </c>
      <c r="I507" s="49" t="s">
        <v>81</v>
      </c>
      <c r="K507" s="116"/>
      <c r="L507" s="120"/>
      <c r="M507" s="117"/>
      <c r="N507" s="116"/>
      <c r="O507" s="117"/>
      <c r="P507" s="118"/>
      <c r="Q507" s="117"/>
      <c r="S507" s="40"/>
      <c r="T507" s="116"/>
      <c r="U507" s="117"/>
      <c r="V507" s="116"/>
      <c r="W507" s="116"/>
      <c r="X507" s="117"/>
      <c r="Y507" s="117"/>
    </row>
    <row r="508" spans="2:25" ht="15">
      <c r="B508" s="49" t="s">
        <v>938</v>
      </c>
      <c r="C508" s="14" t="s">
        <v>1064</v>
      </c>
      <c r="D508" s="97" t="str">
        <f>IF(H508="QS",CONCATENATE("Same k as rxn ",I508),H508)</f>
        <v>Same k as rxn BR07</v>
      </c>
      <c r="E508" s="97"/>
      <c r="F508" s="97"/>
      <c r="G508" s="97"/>
      <c r="H508" s="39" t="s">
        <v>203</v>
      </c>
      <c r="I508" s="49" t="s">
        <v>44</v>
      </c>
      <c r="K508" s="116"/>
      <c r="L508" s="120"/>
      <c r="M508" s="117"/>
      <c r="N508" s="116"/>
      <c r="O508" s="117"/>
      <c r="P508" s="118"/>
      <c r="Q508" s="117"/>
      <c r="S508" s="40"/>
      <c r="T508" s="116"/>
      <c r="U508" s="117"/>
      <c r="V508" s="116"/>
      <c r="W508" s="116"/>
      <c r="X508" s="117"/>
      <c r="Y508" s="117"/>
    </row>
    <row r="509" spans="2:25" ht="15">
      <c r="B509" s="49" t="s">
        <v>939</v>
      </c>
      <c r="C509" s="14" t="s">
        <v>1065</v>
      </c>
      <c r="D509" s="97" t="str">
        <f aca="true" t="shared" si="24" ref="D509:D537">IF(H509="QS",CONCATENATE("Same k as rxn ",I509),H509)</f>
        <v>Same k as rxn BR08</v>
      </c>
      <c r="E509" s="97"/>
      <c r="F509" s="97"/>
      <c r="G509" s="97"/>
      <c r="H509" s="39" t="s">
        <v>203</v>
      </c>
      <c r="I509" s="49" t="s">
        <v>46</v>
      </c>
      <c r="K509" s="116"/>
      <c r="L509" s="120"/>
      <c r="M509" s="117"/>
      <c r="N509" s="116"/>
      <c r="O509" s="117"/>
      <c r="P509" s="118"/>
      <c r="Q509" s="117"/>
      <c r="S509" s="40"/>
      <c r="T509" s="116"/>
      <c r="U509" s="117"/>
      <c r="V509" s="116"/>
      <c r="W509" s="116"/>
      <c r="X509" s="117"/>
      <c r="Y509" s="117"/>
    </row>
    <row r="510" spans="2:25" ht="15">
      <c r="B510" s="49" t="s">
        <v>940</v>
      </c>
      <c r="C510" s="14" t="s">
        <v>1066</v>
      </c>
      <c r="D510" s="97" t="str">
        <f t="shared" si="24"/>
        <v>Same k as rxn BR09</v>
      </c>
      <c r="E510" s="97"/>
      <c r="F510" s="97"/>
      <c r="G510" s="97"/>
      <c r="H510" s="39" t="s">
        <v>203</v>
      </c>
      <c r="I510" s="49" t="s">
        <v>48</v>
      </c>
      <c r="K510" s="116"/>
      <c r="L510" s="120"/>
      <c r="M510" s="117"/>
      <c r="N510" s="116"/>
      <c r="O510" s="117"/>
      <c r="P510" s="118"/>
      <c r="Q510" s="117"/>
      <c r="S510" s="40"/>
      <c r="T510" s="116"/>
      <c r="U510" s="117"/>
      <c r="V510" s="116"/>
      <c r="W510" s="116"/>
      <c r="X510" s="117"/>
      <c r="Y510" s="117"/>
    </row>
    <row r="511" spans="2:25" ht="25.5">
      <c r="B511" s="49" t="s">
        <v>941</v>
      </c>
      <c r="C511" s="14" t="s">
        <v>1067</v>
      </c>
      <c r="D511" s="97" t="str">
        <f t="shared" si="24"/>
        <v>Same k as rxn BR10</v>
      </c>
      <c r="E511" s="97"/>
      <c r="F511" s="97"/>
      <c r="G511" s="97"/>
      <c r="H511" s="39" t="s">
        <v>203</v>
      </c>
      <c r="I511" s="49" t="s">
        <v>50</v>
      </c>
      <c r="K511" s="116"/>
      <c r="L511" s="120"/>
      <c r="M511" s="117"/>
      <c r="N511" s="116"/>
      <c r="O511" s="117"/>
      <c r="P511" s="118"/>
      <c r="Q511" s="117"/>
      <c r="S511" s="40"/>
      <c r="T511" s="116"/>
      <c r="U511" s="117"/>
      <c r="V511" s="116"/>
      <c r="W511" s="116"/>
      <c r="X511" s="117"/>
      <c r="Y511" s="117"/>
    </row>
    <row r="512" spans="2:25" ht="15">
      <c r="B512" s="49" t="s">
        <v>942</v>
      </c>
      <c r="C512" s="14" t="s">
        <v>1068</v>
      </c>
      <c r="D512" s="97" t="str">
        <f t="shared" si="24"/>
        <v>Same k as rxn BR11</v>
      </c>
      <c r="E512" s="97"/>
      <c r="F512" s="97"/>
      <c r="G512" s="97"/>
      <c r="H512" s="39" t="s">
        <v>203</v>
      </c>
      <c r="I512" s="49" t="s">
        <v>52</v>
      </c>
      <c r="K512" s="116"/>
      <c r="L512" s="120"/>
      <c r="M512" s="117"/>
      <c r="N512" s="116"/>
      <c r="O512" s="117"/>
      <c r="P512" s="118"/>
      <c r="Q512" s="117"/>
      <c r="S512" s="40"/>
      <c r="T512" s="116"/>
      <c r="U512" s="117"/>
      <c r="V512" s="116"/>
      <c r="W512" s="116"/>
      <c r="X512" s="117"/>
      <c r="Y512" s="117"/>
    </row>
    <row r="513" spans="2:25" ht="25.5">
      <c r="B513" s="49" t="s">
        <v>944</v>
      </c>
      <c r="C513" s="14" t="s">
        <v>1069</v>
      </c>
      <c r="D513" s="97" t="str">
        <f t="shared" si="24"/>
        <v>Same k as rxn BR11</v>
      </c>
      <c r="E513" s="97"/>
      <c r="F513" s="97"/>
      <c r="G513" s="97"/>
      <c r="H513" s="39" t="s">
        <v>203</v>
      </c>
      <c r="I513" s="49" t="s">
        <v>52</v>
      </c>
      <c r="K513" s="116"/>
      <c r="L513" s="120"/>
      <c r="M513" s="117"/>
      <c r="N513" s="116"/>
      <c r="O513" s="117"/>
      <c r="P513" s="118"/>
      <c r="Q513" s="117"/>
      <c r="S513" s="40"/>
      <c r="T513" s="116"/>
      <c r="U513" s="117"/>
      <c r="V513" s="116"/>
      <c r="W513" s="116"/>
      <c r="X513" s="117"/>
      <c r="Y513" s="117"/>
    </row>
    <row r="514" spans="2:25" ht="15">
      <c r="B514" s="49" t="s">
        <v>946</v>
      </c>
      <c r="C514" s="14" t="s">
        <v>557</v>
      </c>
      <c r="D514" s="97" t="str">
        <f t="shared" si="24"/>
        <v>Same k as rxn BR25</v>
      </c>
      <c r="E514" s="97"/>
      <c r="F514" s="97"/>
      <c r="G514" s="97"/>
      <c r="H514" s="39" t="s">
        <v>203</v>
      </c>
      <c r="I514" s="49" t="s">
        <v>81</v>
      </c>
      <c r="K514" s="116"/>
      <c r="L514" s="120"/>
      <c r="M514" s="117"/>
      <c r="N514" s="116"/>
      <c r="O514" s="117"/>
      <c r="P514" s="118"/>
      <c r="Q514" s="117"/>
      <c r="S514" s="40"/>
      <c r="T514" s="116"/>
      <c r="U514" s="117"/>
      <c r="V514" s="116"/>
      <c r="W514" s="116"/>
      <c r="X514" s="117"/>
      <c r="Y514" s="117"/>
    </row>
    <row r="515" spans="2:25" ht="15">
      <c r="B515" s="49" t="s">
        <v>948</v>
      </c>
      <c r="C515" s="14" t="s">
        <v>558</v>
      </c>
      <c r="D515" s="97" t="str">
        <f t="shared" si="24"/>
        <v>Same k as rxn BR25</v>
      </c>
      <c r="E515" s="97"/>
      <c r="F515" s="97"/>
      <c r="G515" s="97"/>
      <c r="H515" s="39" t="s">
        <v>203</v>
      </c>
      <c r="I515" s="49" t="s">
        <v>81</v>
      </c>
      <c r="K515" s="116"/>
      <c r="L515" s="120"/>
      <c r="M515" s="117"/>
      <c r="N515" s="116"/>
      <c r="O515" s="117"/>
      <c r="P515" s="118"/>
      <c r="Q515" s="117"/>
      <c r="S515" s="40"/>
      <c r="T515" s="116"/>
      <c r="U515" s="117"/>
      <c r="V515" s="116"/>
      <c r="W515" s="116"/>
      <c r="X515" s="117"/>
      <c r="Y515" s="117"/>
    </row>
    <row r="516" spans="2:25" ht="15">
      <c r="B516" s="49" t="s">
        <v>949</v>
      </c>
      <c r="C516" s="14" t="s">
        <v>559</v>
      </c>
      <c r="D516" s="97" t="str">
        <f t="shared" si="24"/>
        <v>Same k as rxn BR25</v>
      </c>
      <c r="E516" s="97"/>
      <c r="F516" s="97"/>
      <c r="G516" s="97"/>
      <c r="H516" s="39" t="s">
        <v>203</v>
      </c>
      <c r="I516" s="49" t="s">
        <v>81</v>
      </c>
      <c r="K516" s="116"/>
      <c r="L516" s="120"/>
      <c r="M516" s="117"/>
      <c r="N516" s="116"/>
      <c r="O516" s="117"/>
      <c r="P516" s="118"/>
      <c r="Q516" s="117"/>
      <c r="S516" s="40"/>
      <c r="T516" s="116"/>
      <c r="U516" s="117"/>
      <c r="V516" s="116"/>
      <c r="W516" s="116"/>
      <c r="X516" s="117"/>
      <c r="Y516" s="117"/>
    </row>
    <row r="517" spans="2:25" ht="15">
      <c r="B517" s="49" t="s">
        <v>950</v>
      </c>
      <c r="C517" s="14" t="s">
        <v>560</v>
      </c>
      <c r="D517" s="97" t="str">
        <f t="shared" si="24"/>
        <v>Same k as rxn BR25</v>
      </c>
      <c r="E517" s="97"/>
      <c r="F517" s="97"/>
      <c r="G517" s="97"/>
      <c r="H517" s="39" t="s">
        <v>203</v>
      </c>
      <c r="I517" s="49" t="s">
        <v>81</v>
      </c>
      <c r="K517" s="116"/>
      <c r="L517" s="120"/>
      <c r="M517" s="117"/>
      <c r="N517" s="116"/>
      <c r="O517" s="117"/>
      <c r="P517" s="118"/>
      <c r="Q517" s="117"/>
      <c r="S517" s="40"/>
      <c r="T517" s="116"/>
      <c r="U517" s="117"/>
      <c r="V517" s="116"/>
      <c r="W517" s="116"/>
      <c r="X517" s="117"/>
      <c r="Y517" s="117"/>
    </row>
    <row r="518" spans="2:25" ht="15">
      <c r="B518" s="49" t="s">
        <v>951</v>
      </c>
      <c r="C518" s="14" t="s">
        <v>1070</v>
      </c>
      <c r="D518" s="97" t="str">
        <f t="shared" si="24"/>
        <v>Same k as rxn BR07</v>
      </c>
      <c r="E518" s="97"/>
      <c r="F518" s="97"/>
      <c r="G518" s="97"/>
      <c r="H518" s="39" t="s">
        <v>203</v>
      </c>
      <c r="I518" s="49" t="s">
        <v>44</v>
      </c>
      <c r="K518" s="116"/>
      <c r="L518" s="120"/>
      <c r="M518" s="117"/>
      <c r="N518" s="116"/>
      <c r="O518" s="117"/>
      <c r="P518" s="118"/>
      <c r="Q518" s="117"/>
      <c r="S518" s="40"/>
      <c r="T518" s="116"/>
      <c r="U518" s="117"/>
      <c r="V518" s="116"/>
      <c r="W518" s="116"/>
      <c r="X518" s="117"/>
      <c r="Y518" s="117"/>
    </row>
    <row r="519" spans="2:25" ht="15">
      <c r="B519" s="49" t="s">
        <v>952</v>
      </c>
      <c r="C519" s="14" t="s">
        <v>1071</v>
      </c>
      <c r="D519" s="97" t="str">
        <f t="shared" si="24"/>
        <v>Same k as rxn BR08</v>
      </c>
      <c r="E519" s="97"/>
      <c r="F519" s="97"/>
      <c r="G519" s="97"/>
      <c r="H519" s="39" t="s">
        <v>203</v>
      </c>
      <c r="I519" s="49" t="s">
        <v>46</v>
      </c>
      <c r="K519" s="116"/>
      <c r="L519" s="120"/>
      <c r="M519" s="117"/>
      <c r="N519" s="116"/>
      <c r="O519" s="117"/>
      <c r="P519" s="118"/>
      <c r="Q519" s="117"/>
      <c r="S519" s="40"/>
      <c r="T519" s="116"/>
      <c r="U519" s="117"/>
      <c r="V519" s="116"/>
      <c r="W519" s="116"/>
      <c r="X519" s="117"/>
      <c r="Y519" s="117"/>
    </row>
    <row r="520" spans="2:25" ht="15">
      <c r="B520" s="49" t="s">
        <v>953</v>
      </c>
      <c r="C520" s="14" t="s">
        <v>1072</v>
      </c>
      <c r="D520" s="97" t="str">
        <f t="shared" si="24"/>
        <v>Same k as rxn BR09</v>
      </c>
      <c r="E520" s="97"/>
      <c r="F520" s="97"/>
      <c r="G520" s="97"/>
      <c r="H520" s="39" t="s">
        <v>203</v>
      </c>
      <c r="I520" s="49" t="s">
        <v>48</v>
      </c>
      <c r="K520" s="116"/>
      <c r="L520" s="120"/>
      <c r="M520" s="117"/>
      <c r="N520" s="116"/>
      <c r="O520" s="117"/>
      <c r="P520" s="118"/>
      <c r="Q520" s="117"/>
      <c r="S520" s="40"/>
      <c r="T520" s="116"/>
      <c r="U520" s="117"/>
      <c r="V520" s="116"/>
      <c r="W520" s="116"/>
      <c r="X520" s="117"/>
      <c r="Y520" s="117"/>
    </row>
    <row r="521" spans="2:25" ht="25.5">
      <c r="B521" s="49" t="s">
        <v>954</v>
      </c>
      <c r="C521" s="14" t="s">
        <v>1073</v>
      </c>
      <c r="D521" s="97" t="str">
        <f t="shared" si="24"/>
        <v>Same k as rxn BR10</v>
      </c>
      <c r="E521" s="97"/>
      <c r="F521" s="97"/>
      <c r="G521" s="97"/>
      <c r="H521" s="39" t="s">
        <v>203</v>
      </c>
      <c r="I521" s="49" t="s">
        <v>50</v>
      </c>
      <c r="K521" s="116"/>
      <c r="L521" s="120"/>
      <c r="M521" s="117"/>
      <c r="N521" s="116"/>
      <c r="O521" s="117"/>
      <c r="P521" s="118"/>
      <c r="Q521" s="117"/>
      <c r="S521" s="40"/>
      <c r="T521" s="116"/>
      <c r="U521" s="117"/>
      <c r="V521" s="116"/>
      <c r="W521" s="116"/>
      <c r="X521" s="117"/>
      <c r="Y521" s="117"/>
    </row>
    <row r="522" spans="2:25" ht="25.5">
      <c r="B522" s="49" t="s">
        <v>955</v>
      </c>
      <c r="C522" s="14" t="s">
        <v>1074</v>
      </c>
      <c r="D522" s="97" t="str">
        <f t="shared" si="24"/>
        <v>Same k as rxn BR11</v>
      </c>
      <c r="E522" s="97"/>
      <c r="F522" s="97"/>
      <c r="G522" s="97"/>
      <c r="H522" s="39" t="s">
        <v>203</v>
      </c>
      <c r="I522" s="49" t="s">
        <v>52</v>
      </c>
      <c r="K522" s="116"/>
      <c r="L522" s="120"/>
      <c r="M522" s="117"/>
      <c r="N522" s="116"/>
      <c r="O522" s="117"/>
      <c r="P522" s="118"/>
      <c r="Q522" s="117"/>
      <c r="S522" s="40"/>
      <c r="T522" s="116"/>
      <c r="U522" s="117"/>
      <c r="V522" s="116"/>
      <c r="W522" s="116"/>
      <c r="X522" s="117"/>
      <c r="Y522" s="117"/>
    </row>
    <row r="523" spans="2:25" ht="25.5">
      <c r="B523" s="49" t="s">
        <v>957</v>
      </c>
      <c r="C523" s="14" t="s">
        <v>1075</v>
      </c>
      <c r="D523" s="97" t="str">
        <f t="shared" si="24"/>
        <v>Same k as rxn BR11</v>
      </c>
      <c r="E523" s="97"/>
      <c r="F523" s="97"/>
      <c r="G523" s="97"/>
      <c r="H523" s="39" t="s">
        <v>203</v>
      </c>
      <c r="I523" s="49" t="s">
        <v>52</v>
      </c>
      <c r="K523" s="116"/>
      <c r="L523" s="120"/>
      <c r="M523" s="117"/>
      <c r="N523" s="116"/>
      <c r="O523" s="117"/>
      <c r="P523" s="118"/>
      <c r="Q523" s="117"/>
      <c r="S523" s="40"/>
      <c r="T523" s="116"/>
      <c r="U523" s="117"/>
      <c r="V523" s="116"/>
      <c r="W523" s="116"/>
      <c r="X523" s="117"/>
      <c r="Y523" s="117"/>
    </row>
    <row r="524" spans="2:25" ht="15">
      <c r="B524" s="49" t="s">
        <v>959</v>
      </c>
      <c r="C524" s="14" t="s">
        <v>561</v>
      </c>
      <c r="D524" s="97" t="str">
        <f t="shared" si="24"/>
        <v>Same k as rxn BR25</v>
      </c>
      <c r="E524" s="97"/>
      <c r="F524" s="97"/>
      <c r="G524" s="97"/>
      <c r="H524" s="39" t="s">
        <v>203</v>
      </c>
      <c r="I524" s="49" t="s">
        <v>81</v>
      </c>
      <c r="K524" s="116"/>
      <c r="L524" s="120"/>
      <c r="M524" s="117"/>
      <c r="N524" s="116"/>
      <c r="O524" s="117"/>
      <c r="P524" s="118"/>
      <c r="Q524" s="117"/>
      <c r="S524" s="40"/>
      <c r="T524" s="116"/>
      <c r="U524" s="117"/>
      <c r="V524" s="116"/>
      <c r="W524" s="116"/>
      <c r="X524" s="117"/>
      <c r="Y524" s="117"/>
    </row>
    <row r="525" spans="2:25" ht="15">
      <c r="B525" s="49" t="s">
        <v>961</v>
      </c>
      <c r="C525" s="14" t="s">
        <v>562</v>
      </c>
      <c r="D525" s="97" t="str">
        <f t="shared" si="24"/>
        <v>Same k as rxn BR25</v>
      </c>
      <c r="E525" s="97"/>
      <c r="F525" s="97"/>
      <c r="G525" s="97"/>
      <c r="H525" s="39" t="s">
        <v>203</v>
      </c>
      <c r="I525" s="49" t="s">
        <v>81</v>
      </c>
      <c r="K525" s="116"/>
      <c r="L525" s="120"/>
      <c r="M525" s="117"/>
      <c r="N525" s="116"/>
      <c r="O525" s="117"/>
      <c r="P525" s="118"/>
      <c r="Q525" s="117"/>
      <c r="S525" s="40"/>
      <c r="T525" s="116"/>
      <c r="U525" s="117"/>
      <c r="V525" s="116"/>
      <c r="W525" s="116"/>
      <c r="X525" s="117"/>
      <c r="Y525" s="117"/>
    </row>
    <row r="526" spans="2:25" ht="15">
      <c r="B526" s="49" t="s">
        <v>962</v>
      </c>
      <c r="C526" s="14" t="s">
        <v>563</v>
      </c>
      <c r="D526" s="97" t="str">
        <f t="shared" si="24"/>
        <v>Same k as rxn BR25</v>
      </c>
      <c r="E526" s="97"/>
      <c r="F526" s="97"/>
      <c r="G526" s="97"/>
      <c r="H526" s="39" t="s">
        <v>203</v>
      </c>
      <c r="I526" s="49" t="s">
        <v>81</v>
      </c>
      <c r="K526" s="116"/>
      <c r="L526" s="120"/>
      <c r="M526" s="117"/>
      <c r="N526" s="116"/>
      <c r="O526" s="117"/>
      <c r="P526" s="118"/>
      <c r="Q526" s="117"/>
      <c r="S526" s="40"/>
      <c r="T526" s="116"/>
      <c r="U526" s="117"/>
      <c r="V526" s="116"/>
      <c r="W526" s="116"/>
      <c r="X526" s="117"/>
      <c r="Y526" s="117"/>
    </row>
    <row r="527" spans="2:25" ht="15">
      <c r="B527" s="49" t="s">
        <v>963</v>
      </c>
      <c r="C527" s="14" t="s">
        <v>564</v>
      </c>
      <c r="D527" s="97" t="str">
        <f t="shared" si="24"/>
        <v>Same k as rxn BR25</v>
      </c>
      <c r="E527" s="97"/>
      <c r="F527" s="97"/>
      <c r="G527" s="97"/>
      <c r="H527" s="39" t="s">
        <v>203</v>
      </c>
      <c r="I527" s="49" t="s">
        <v>81</v>
      </c>
      <c r="K527" s="116"/>
      <c r="L527" s="120"/>
      <c r="M527" s="117"/>
      <c r="N527" s="116"/>
      <c r="O527" s="117"/>
      <c r="P527" s="118"/>
      <c r="Q527" s="117"/>
      <c r="S527" s="40"/>
      <c r="T527" s="116"/>
      <c r="U527" s="117"/>
      <c r="V527" s="116"/>
      <c r="W527" s="116"/>
      <c r="X527" s="117"/>
      <c r="Y527" s="117"/>
    </row>
    <row r="528" spans="2:25" ht="15">
      <c r="B528" s="49" t="s">
        <v>964</v>
      </c>
      <c r="C528" s="14" t="s">
        <v>1076</v>
      </c>
      <c r="D528" s="97" t="str">
        <f t="shared" si="24"/>
        <v>Same k as rxn BR07</v>
      </c>
      <c r="E528" s="97"/>
      <c r="F528" s="97"/>
      <c r="G528" s="97"/>
      <c r="H528" s="39" t="s">
        <v>203</v>
      </c>
      <c r="I528" s="49" t="s">
        <v>44</v>
      </c>
      <c r="K528" s="116"/>
      <c r="L528" s="120"/>
      <c r="M528" s="117"/>
      <c r="N528" s="116"/>
      <c r="O528" s="117"/>
      <c r="P528" s="118"/>
      <c r="Q528" s="117"/>
      <c r="S528" s="40"/>
      <c r="T528" s="116"/>
      <c r="U528" s="117"/>
      <c r="V528" s="116"/>
      <c r="W528" s="116"/>
      <c r="X528" s="117"/>
      <c r="Y528" s="117"/>
    </row>
    <row r="529" spans="2:25" ht="15">
      <c r="B529" s="49" t="s">
        <v>965</v>
      </c>
      <c r="C529" s="14" t="s">
        <v>1077</v>
      </c>
      <c r="D529" s="97" t="str">
        <f t="shared" si="24"/>
        <v>Same k as rxn BR08</v>
      </c>
      <c r="E529" s="97"/>
      <c r="F529" s="97"/>
      <c r="G529" s="97"/>
      <c r="H529" s="39" t="s">
        <v>203</v>
      </c>
      <c r="I529" s="49" t="s">
        <v>46</v>
      </c>
      <c r="K529" s="116"/>
      <c r="L529" s="120"/>
      <c r="M529" s="117"/>
      <c r="N529" s="116"/>
      <c r="O529" s="117"/>
      <c r="P529" s="118"/>
      <c r="Q529" s="117"/>
      <c r="S529" s="40"/>
      <c r="T529" s="116"/>
      <c r="U529" s="117"/>
      <c r="V529" s="116"/>
      <c r="W529" s="116"/>
      <c r="X529" s="117"/>
      <c r="Y529" s="117"/>
    </row>
    <row r="530" spans="2:25" ht="15">
      <c r="B530" s="49" t="s">
        <v>966</v>
      </c>
      <c r="C530" s="14" t="s">
        <v>1078</v>
      </c>
      <c r="D530" s="97" t="str">
        <f t="shared" si="24"/>
        <v>Same k as rxn BR09</v>
      </c>
      <c r="E530" s="97"/>
      <c r="F530" s="97"/>
      <c r="G530" s="97"/>
      <c r="H530" s="39" t="s">
        <v>203</v>
      </c>
      <c r="I530" s="49" t="s">
        <v>48</v>
      </c>
      <c r="K530" s="116"/>
      <c r="L530" s="120"/>
      <c r="M530" s="117"/>
      <c r="N530" s="116"/>
      <c r="O530" s="117"/>
      <c r="P530" s="118"/>
      <c r="Q530" s="117"/>
      <c r="S530" s="40"/>
      <c r="T530" s="116"/>
      <c r="U530" s="117"/>
      <c r="V530" s="116"/>
      <c r="W530" s="116"/>
      <c r="X530" s="117"/>
      <c r="Y530" s="117"/>
    </row>
    <row r="531" spans="2:25" ht="25.5">
      <c r="B531" s="49" t="s">
        <v>967</v>
      </c>
      <c r="C531" s="14" t="s">
        <v>1079</v>
      </c>
      <c r="D531" s="97" t="str">
        <f t="shared" si="24"/>
        <v>Same k as rxn BR10</v>
      </c>
      <c r="E531" s="97"/>
      <c r="F531" s="97"/>
      <c r="G531" s="97"/>
      <c r="H531" s="39" t="s">
        <v>203</v>
      </c>
      <c r="I531" s="49" t="s">
        <v>50</v>
      </c>
      <c r="K531" s="116"/>
      <c r="L531" s="120"/>
      <c r="M531" s="117"/>
      <c r="N531" s="116"/>
      <c r="O531" s="117"/>
      <c r="P531" s="118"/>
      <c r="Q531" s="117"/>
      <c r="S531" s="40"/>
      <c r="T531" s="116"/>
      <c r="U531" s="117"/>
      <c r="V531" s="116"/>
      <c r="W531" s="116"/>
      <c r="X531" s="117"/>
      <c r="Y531" s="117"/>
    </row>
    <row r="532" spans="2:25" ht="25.5">
      <c r="B532" s="49" t="s">
        <v>968</v>
      </c>
      <c r="C532" s="14" t="s">
        <v>1080</v>
      </c>
      <c r="D532" s="97" t="str">
        <f t="shared" si="24"/>
        <v>Same k as rxn BR11</v>
      </c>
      <c r="E532" s="97"/>
      <c r="F532" s="97"/>
      <c r="G532" s="97"/>
      <c r="H532" s="39" t="s">
        <v>203</v>
      </c>
      <c r="I532" s="49" t="s">
        <v>52</v>
      </c>
      <c r="K532" s="116"/>
      <c r="L532" s="120"/>
      <c r="M532" s="117"/>
      <c r="N532" s="116"/>
      <c r="O532" s="117"/>
      <c r="P532" s="118"/>
      <c r="Q532" s="117"/>
      <c r="S532" s="40"/>
      <c r="T532" s="116"/>
      <c r="U532" s="117"/>
      <c r="V532" s="116"/>
      <c r="W532" s="116"/>
      <c r="X532" s="117"/>
      <c r="Y532" s="117"/>
    </row>
    <row r="533" spans="2:25" ht="25.5">
      <c r="B533" s="49" t="s">
        <v>970</v>
      </c>
      <c r="C533" s="14" t="s">
        <v>1081</v>
      </c>
      <c r="D533" s="97" t="str">
        <f t="shared" si="24"/>
        <v>Same k as rxn BR11</v>
      </c>
      <c r="E533" s="97"/>
      <c r="F533" s="97"/>
      <c r="G533" s="97"/>
      <c r="H533" s="39" t="s">
        <v>203</v>
      </c>
      <c r="I533" s="49" t="s">
        <v>52</v>
      </c>
      <c r="K533" s="116"/>
      <c r="L533" s="120"/>
      <c r="M533" s="117"/>
      <c r="N533" s="116"/>
      <c r="O533" s="117"/>
      <c r="P533" s="118"/>
      <c r="Q533" s="117"/>
      <c r="S533" s="40"/>
      <c r="T533" s="116"/>
      <c r="U533" s="117"/>
      <c r="V533" s="116"/>
      <c r="W533" s="116"/>
      <c r="X533" s="117"/>
      <c r="Y533" s="117"/>
    </row>
    <row r="534" spans="2:25" ht="15">
      <c r="B534" s="49" t="s">
        <v>972</v>
      </c>
      <c r="C534" s="14" t="s">
        <v>565</v>
      </c>
      <c r="D534" s="97" t="str">
        <f t="shared" si="24"/>
        <v>Same k as rxn BR25</v>
      </c>
      <c r="E534" s="97"/>
      <c r="F534" s="97"/>
      <c r="G534" s="97"/>
      <c r="H534" s="39" t="s">
        <v>203</v>
      </c>
      <c r="I534" s="49" t="s">
        <v>81</v>
      </c>
      <c r="K534" s="116"/>
      <c r="L534" s="120"/>
      <c r="M534" s="117"/>
      <c r="N534" s="116"/>
      <c r="O534" s="117"/>
      <c r="P534" s="118"/>
      <c r="Q534" s="117"/>
      <c r="S534" s="40"/>
      <c r="T534" s="116"/>
      <c r="U534" s="117"/>
      <c r="V534" s="116"/>
      <c r="W534" s="116"/>
      <c r="X534" s="117"/>
      <c r="Y534" s="117"/>
    </row>
    <row r="535" spans="2:25" ht="15">
      <c r="B535" s="49" t="s">
        <v>974</v>
      </c>
      <c r="C535" s="14" t="s">
        <v>566</v>
      </c>
      <c r="D535" s="97" t="str">
        <f t="shared" si="24"/>
        <v>Same k as rxn BR25</v>
      </c>
      <c r="E535" s="97"/>
      <c r="F535" s="97"/>
      <c r="G535" s="97"/>
      <c r="H535" s="39" t="s">
        <v>203</v>
      </c>
      <c r="I535" s="49" t="s">
        <v>81</v>
      </c>
      <c r="K535" s="116"/>
      <c r="L535" s="120"/>
      <c r="M535" s="117"/>
      <c r="N535" s="116"/>
      <c r="O535" s="117"/>
      <c r="P535" s="118"/>
      <c r="Q535" s="117"/>
      <c r="S535" s="40"/>
      <c r="T535" s="116"/>
      <c r="U535" s="117"/>
      <c r="V535" s="116"/>
      <c r="W535" s="116"/>
      <c r="X535" s="117"/>
      <c r="Y535" s="117"/>
    </row>
    <row r="536" spans="2:25" ht="15">
      <c r="B536" s="49" t="s">
        <v>975</v>
      </c>
      <c r="C536" s="14" t="s">
        <v>567</v>
      </c>
      <c r="D536" s="97" t="str">
        <f t="shared" si="24"/>
        <v>Same k as rxn BR25</v>
      </c>
      <c r="E536" s="97"/>
      <c r="F536" s="97"/>
      <c r="G536" s="97"/>
      <c r="H536" s="39" t="s">
        <v>203</v>
      </c>
      <c r="I536" s="49" t="s">
        <v>81</v>
      </c>
      <c r="K536" s="116"/>
      <c r="L536" s="120"/>
      <c r="M536" s="117"/>
      <c r="N536" s="116"/>
      <c r="O536" s="117"/>
      <c r="P536" s="118"/>
      <c r="Q536" s="117"/>
      <c r="S536" s="40"/>
      <c r="T536" s="116"/>
      <c r="U536" s="117"/>
      <c r="V536" s="116"/>
      <c r="W536" s="116"/>
      <c r="X536" s="117"/>
      <c r="Y536" s="117"/>
    </row>
    <row r="537" spans="2:25" ht="15">
      <c r="B537" s="49" t="s">
        <v>976</v>
      </c>
      <c r="C537" s="14" t="s">
        <v>568</v>
      </c>
      <c r="D537" s="97" t="str">
        <f t="shared" si="24"/>
        <v>Same k as rxn BR25</v>
      </c>
      <c r="E537" s="97"/>
      <c r="F537" s="97"/>
      <c r="G537" s="97"/>
      <c r="H537" s="39" t="s">
        <v>203</v>
      </c>
      <c r="I537" s="49" t="s">
        <v>81</v>
      </c>
      <c r="K537" s="116"/>
      <c r="L537" s="120"/>
      <c r="M537" s="117"/>
      <c r="N537" s="116"/>
      <c r="O537" s="117"/>
      <c r="P537" s="118"/>
      <c r="Q537" s="117"/>
      <c r="S537" s="40"/>
      <c r="T537" s="116"/>
      <c r="U537" s="117"/>
      <c r="V537" s="116"/>
      <c r="W537" s="116"/>
      <c r="X537" s="117"/>
      <c r="Y537" s="117"/>
    </row>
    <row r="538" spans="2:25" ht="15">
      <c r="B538" s="49" t="s">
        <v>977</v>
      </c>
      <c r="C538" s="14" t="s">
        <v>1082</v>
      </c>
      <c r="D538" s="97" t="str">
        <f>IF(H538="QS",CONCATENATE("Same k as rxn ",I538),H538)</f>
        <v>Same k as rxn BR07</v>
      </c>
      <c r="E538" s="97"/>
      <c r="F538" s="97"/>
      <c r="G538" s="97"/>
      <c r="H538" s="39" t="s">
        <v>203</v>
      </c>
      <c r="I538" s="49" t="s">
        <v>44</v>
      </c>
      <c r="K538" s="116"/>
      <c r="L538" s="120"/>
      <c r="M538" s="117"/>
      <c r="N538" s="116"/>
      <c r="O538" s="117"/>
      <c r="P538" s="118"/>
      <c r="Q538" s="117"/>
      <c r="S538" s="40"/>
      <c r="T538" s="116"/>
      <c r="U538" s="117"/>
      <c r="V538" s="116"/>
      <c r="W538" s="116"/>
      <c r="X538" s="117"/>
      <c r="Y538" s="117"/>
    </row>
    <row r="539" spans="2:25" ht="15">
      <c r="B539" s="49" t="s">
        <v>978</v>
      </c>
      <c r="C539" s="14" t="s">
        <v>1083</v>
      </c>
      <c r="D539" s="97" t="str">
        <f aca="true" t="shared" si="25" ref="D539:D557">IF(H539="QS",CONCATENATE("Same k as rxn ",I539),H539)</f>
        <v>Same k as rxn BR08</v>
      </c>
      <c r="E539" s="97"/>
      <c r="F539" s="97"/>
      <c r="G539" s="97"/>
      <c r="H539" s="39" t="s">
        <v>203</v>
      </c>
      <c r="I539" s="49" t="s">
        <v>46</v>
      </c>
      <c r="K539" s="116"/>
      <c r="L539" s="120"/>
      <c r="M539" s="117"/>
      <c r="N539" s="116"/>
      <c r="O539" s="117"/>
      <c r="P539" s="118"/>
      <c r="Q539" s="117"/>
      <c r="S539" s="40"/>
      <c r="T539" s="116"/>
      <c r="U539" s="117"/>
      <c r="V539" s="116"/>
      <c r="W539" s="116"/>
      <c r="X539" s="117"/>
      <c r="Y539" s="117"/>
    </row>
    <row r="540" spans="2:25" ht="15">
      <c r="B540" s="49" t="s">
        <v>979</v>
      </c>
      <c r="C540" s="14" t="s">
        <v>1084</v>
      </c>
      <c r="D540" s="97" t="str">
        <f t="shared" si="25"/>
        <v>Same k as rxn BR09</v>
      </c>
      <c r="E540" s="97"/>
      <c r="F540" s="97"/>
      <c r="G540" s="97"/>
      <c r="H540" s="39" t="s">
        <v>203</v>
      </c>
      <c r="I540" s="49" t="s">
        <v>48</v>
      </c>
      <c r="K540" s="116"/>
      <c r="L540" s="120"/>
      <c r="M540" s="117"/>
      <c r="N540" s="116"/>
      <c r="O540" s="117"/>
      <c r="P540" s="118"/>
      <c r="Q540" s="117"/>
      <c r="S540" s="40"/>
      <c r="T540" s="116"/>
      <c r="U540" s="117"/>
      <c r="V540" s="116"/>
      <c r="W540" s="116"/>
      <c r="X540" s="117"/>
      <c r="Y540" s="117"/>
    </row>
    <row r="541" spans="2:25" ht="25.5">
      <c r="B541" s="49" t="s">
        <v>980</v>
      </c>
      <c r="C541" s="14" t="s">
        <v>1085</v>
      </c>
      <c r="D541" s="97" t="str">
        <f t="shared" si="25"/>
        <v>Same k as rxn BR10</v>
      </c>
      <c r="E541" s="97"/>
      <c r="F541" s="97"/>
      <c r="G541" s="97"/>
      <c r="H541" s="39" t="s">
        <v>203</v>
      </c>
      <c r="I541" s="49" t="s">
        <v>50</v>
      </c>
      <c r="K541" s="116"/>
      <c r="L541" s="120"/>
      <c r="M541" s="117"/>
      <c r="N541" s="116"/>
      <c r="O541" s="117"/>
      <c r="P541" s="118"/>
      <c r="Q541" s="117"/>
      <c r="S541" s="40"/>
      <c r="T541" s="116"/>
      <c r="U541" s="117"/>
      <c r="V541" s="116"/>
      <c r="W541" s="116"/>
      <c r="X541" s="117"/>
      <c r="Y541" s="117"/>
    </row>
    <row r="542" spans="2:25" ht="25.5">
      <c r="B542" s="49" t="s">
        <v>981</v>
      </c>
      <c r="C542" s="14" t="s">
        <v>1086</v>
      </c>
      <c r="D542" s="97" t="str">
        <f t="shared" si="25"/>
        <v>Same k as rxn BR11</v>
      </c>
      <c r="E542" s="97"/>
      <c r="F542" s="97"/>
      <c r="G542" s="97"/>
      <c r="H542" s="39" t="s">
        <v>203</v>
      </c>
      <c r="I542" s="49" t="s">
        <v>52</v>
      </c>
      <c r="K542" s="116"/>
      <c r="L542" s="120"/>
      <c r="M542" s="117"/>
      <c r="N542" s="116"/>
      <c r="O542" s="117"/>
      <c r="P542" s="118"/>
      <c r="Q542" s="117"/>
      <c r="S542" s="40"/>
      <c r="T542" s="116"/>
      <c r="U542" s="117"/>
      <c r="V542" s="116"/>
      <c r="W542" s="116"/>
      <c r="X542" s="117"/>
      <c r="Y542" s="117"/>
    </row>
    <row r="543" spans="2:25" ht="25.5">
      <c r="B543" s="49" t="s">
        <v>983</v>
      </c>
      <c r="C543" s="14" t="s">
        <v>1087</v>
      </c>
      <c r="D543" s="97" t="str">
        <f t="shared" si="25"/>
        <v>Same k as rxn BR11</v>
      </c>
      <c r="E543" s="97"/>
      <c r="F543" s="97"/>
      <c r="G543" s="97"/>
      <c r="H543" s="39" t="s">
        <v>203</v>
      </c>
      <c r="I543" s="49" t="s">
        <v>52</v>
      </c>
      <c r="K543" s="116"/>
      <c r="L543" s="120"/>
      <c r="M543" s="117"/>
      <c r="N543" s="116"/>
      <c r="O543" s="117"/>
      <c r="P543" s="118"/>
      <c r="Q543" s="117"/>
      <c r="S543" s="40"/>
      <c r="T543" s="116"/>
      <c r="U543" s="117"/>
      <c r="V543" s="116"/>
      <c r="W543" s="116"/>
      <c r="X543" s="117"/>
      <c r="Y543" s="117"/>
    </row>
    <row r="544" spans="2:25" ht="15">
      <c r="B544" s="49" t="s">
        <v>985</v>
      </c>
      <c r="C544" s="14" t="s">
        <v>569</v>
      </c>
      <c r="D544" s="97" t="str">
        <f t="shared" si="25"/>
        <v>Same k as rxn BR25</v>
      </c>
      <c r="E544" s="97"/>
      <c r="F544" s="97"/>
      <c r="G544" s="97"/>
      <c r="H544" s="39" t="s">
        <v>203</v>
      </c>
      <c r="I544" s="49" t="s">
        <v>81</v>
      </c>
      <c r="K544" s="116"/>
      <c r="L544" s="120"/>
      <c r="M544" s="117"/>
      <c r="N544" s="116"/>
      <c r="O544" s="117"/>
      <c r="P544" s="118"/>
      <c r="Q544" s="117"/>
      <c r="S544" s="40"/>
      <c r="T544" s="116"/>
      <c r="U544" s="117"/>
      <c r="V544" s="116"/>
      <c r="W544" s="116"/>
      <c r="X544" s="117"/>
      <c r="Y544" s="117"/>
    </row>
    <row r="545" spans="2:25" ht="15">
      <c r="B545" s="49" t="s">
        <v>987</v>
      </c>
      <c r="C545" s="14" t="s">
        <v>570</v>
      </c>
      <c r="D545" s="97" t="str">
        <f t="shared" si="25"/>
        <v>Same k as rxn BR25</v>
      </c>
      <c r="E545" s="97"/>
      <c r="F545" s="97"/>
      <c r="G545" s="97"/>
      <c r="H545" s="39" t="s">
        <v>203</v>
      </c>
      <c r="I545" s="49" t="s">
        <v>81</v>
      </c>
      <c r="K545" s="116"/>
      <c r="L545" s="120"/>
      <c r="M545" s="117"/>
      <c r="N545" s="116"/>
      <c r="O545" s="117"/>
      <c r="P545" s="118"/>
      <c r="Q545" s="117"/>
      <c r="S545" s="40"/>
      <c r="T545" s="116"/>
      <c r="U545" s="117"/>
      <c r="V545" s="116"/>
      <c r="W545" s="116"/>
      <c r="X545" s="117"/>
      <c r="Y545" s="117"/>
    </row>
    <row r="546" spans="2:25" ht="15">
      <c r="B546" s="49" t="s">
        <v>988</v>
      </c>
      <c r="C546" s="14" t="s">
        <v>571</v>
      </c>
      <c r="D546" s="97" t="str">
        <f t="shared" si="25"/>
        <v>Same k as rxn BR25</v>
      </c>
      <c r="E546" s="97"/>
      <c r="F546" s="97"/>
      <c r="G546" s="97"/>
      <c r="H546" s="39" t="s">
        <v>203</v>
      </c>
      <c r="I546" s="49" t="s">
        <v>81</v>
      </c>
      <c r="K546" s="116"/>
      <c r="L546" s="120"/>
      <c r="M546" s="117"/>
      <c r="N546" s="116"/>
      <c r="O546" s="117"/>
      <c r="P546" s="118"/>
      <c r="Q546" s="117"/>
      <c r="S546" s="40"/>
      <c r="T546" s="116"/>
      <c r="U546" s="117"/>
      <c r="V546" s="116"/>
      <c r="W546" s="116"/>
      <c r="X546" s="117"/>
      <c r="Y546" s="117"/>
    </row>
    <row r="547" spans="2:25" ht="15">
      <c r="B547" s="49" t="s">
        <v>989</v>
      </c>
      <c r="C547" s="14" t="s">
        <v>572</v>
      </c>
      <c r="D547" s="97" t="str">
        <f t="shared" si="25"/>
        <v>Same k as rxn BR25</v>
      </c>
      <c r="E547" s="97"/>
      <c r="F547" s="97"/>
      <c r="G547" s="97"/>
      <c r="H547" s="39" t="s">
        <v>203</v>
      </c>
      <c r="I547" s="49" t="s">
        <v>81</v>
      </c>
      <c r="K547" s="116"/>
      <c r="L547" s="120"/>
      <c r="M547" s="117"/>
      <c r="N547" s="116"/>
      <c r="O547" s="117"/>
      <c r="P547" s="118"/>
      <c r="Q547" s="117"/>
      <c r="S547" s="40"/>
      <c r="T547" s="116"/>
      <c r="U547" s="117"/>
      <c r="V547" s="116"/>
      <c r="W547" s="116"/>
      <c r="X547" s="117"/>
      <c r="Y547" s="117"/>
    </row>
    <row r="548" spans="2:25" ht="15">
      <c r="B548" s="49" t="s">
        <v>990</v>
      </c>
      <c r="C548" s="14" t="s">
        <v>806</v>
      </c>
      <c r="D548" s="97" t="str">
        <f t="shared" si="25"/>
        <v>Same k as rxn BR07</v>
      </c>
      <c r="E548" s="97"/>
      <c r="F548" s="97"/>
      <c r="G548" s="97"/>
      <c r="H548" s="39" t="s">
        <v>203</v>
      </c>
      <c r="I548" s="49" t="s">
        <v>44</v>
      </c>
      <c r="K548" s="116"/>
      <c r="L548" s="120"/>
      <c r="M548" s="117"/>
      <c r="N548" s="116"/>
      <c r="O548" s="117"/>
      <c r="P548" s="118"/>
      <c r="Q548" s="117"/>
      <c r="S548" s="40"/>
      <c r="T548" s="116"/>
      <c r="U548" s="117"/>
      <c r="V548" s="116"/>
      <c r="W548" s="116"/>
      <c r="X548" s="117"/>
      <c r="Y548" s="117"/>
    </row>
    <row r="549" spans="2:25" ht="15">
      <c r="B549" s="49" t="s">
        <v>991</v>
      </c>
      <c r="C549" s="14" t="s">
        <v>808</v>
      </c>
      <c r="D549" s="97" t="str">
        <f t="shared" si="25"/>
        <v>Same k as rxn BR08</v>
      </c>
      <c r="E549" s="97"/>
      <c r="F549" s="97"/>
      <c r="G549" s="97"/>
      <c r="H549" s="39" t="s">
        <v>203</v>
      </c>
      <c r="I549" s="49" t="s">
        <v>46</v>
      </c>
      <c r="K549" s="116"/>
      <c r="L549" s="120"/>
      <c r="M549" s="117"/>
      <c r="N549" s="116"/>
      <c r="O549" s="117"/>
      <c r="P549" s="118"/>
      <c r="Q549" s="117"/>
      <c r="S549" s="40"/>
      <c r="T549" s="116"/>
      <c r="U549" s="117"/>
      <c r="V549" s="116"/>
      <c r="W549" s="116"/>
      <c r="X549" s="117"/>
      <c r="Y549" s="117"/>
    </row>
    <row r="550" spans="2:25" ht="15">
      <c r="B550" s="49" t="s">
        <v>992</v>
      </c>
      <c r="C550" s="14" t="s">
        <v>810</v>
      </c>
      <c r="D550" s="97" t="str">
        <f t="shared" si="25"/>
        <v>Same k as rxn BR09</v>
      </c>
      <c r="E550" s="97"/>
      <c r="F550" s="97"/>
      <c r="G550" s="97"/>
      <c r="H550" s="39" t="s">
        <v>203</v>
      </c>
      <c r="I550" s="49" t="s">
        <v>48</v>
      </c>
      <c r="K550" s="116"/>
      <c r="L550" s="120"/>
      <c r="M550" s="117"/>
      <c r="N550" s="116"/>
      <c r="O550" s="117"/>
      <c r="P550" s="118"/>
      <c r="Q550" s="117"/>
      <c r="S550" s="40"/>
      <c r="T550" s="116"/>
      <c r="U550" s="117"/>
      <c r="V550" s="116"/>
      <c r="W550" s="116"/>
      <c r="X550" s="117"/>
      <c r="Y550" s="117"/>
    </row>
    <row r="551" spans="2:25" ht="25.5">
      <c r="B551" s="49" t="s">
        <v>993</v>
      </c>
      <c r="C551" s="14" t="s">
        <v>1266</v>
      </c>
      <c r="D551" s="97" t="str">
        <f t="shared" si="25"/>
        <v>Same k as rxn BR10</v>
      </c>
      <c r="E551" s="97"/>
      <c r="F551" s="97"/>
      <c r="G551" s="97"/>
      <c r="H551" s="39" t="s">
        <v>203</v>
      </c>
      <c r="I551" s="49" t="s">
        <v>50</v>
      </c>
      <c r="K551" s="116"/>
      <c r="L551" s="120"/>
      <c r="M551" s="117"/>
      <c r="N551" s="116"/>
      <c r="O551" s="117"/>
      <c r="P551" s="118"/>
      <c r="Q551" s="117"/>
      <c r="S551" s="40"/>
      <c r="T551" s="116"/>
      <c r="U551" s="117"/>
      <c r="V551" s="116"/>
      <c r="W551" s="116"/>
      <c r="X551" s="117"/>
      <c r="Y551" s="117"/>
    </row>
    <row r="552" spans="2:25" ht="25.5">
      <c r="B552" s="49" t="s">
        <v>994</v>
      </c>
      <c r="C552" s="14" t="s">
        <v>1267</v>
      </c>
      <c r="D552" s="97" t="str">
        <f t="shared" si="25"/>
        <v>Same k as rxn BR11</v>
      </c>
      <c r="E552" s="97"/>
      <c r="F552" s="97"/>
      <c r="G552" s="97"/>
      <c r="H552" s="39" t="s">
        <v>203</v>
      </c>
      <c r="I552" s="49" t="s">
        <v>52</v>
      </c>
      <c r="K552" s="116"/>
      <c r="L552" s="120"/>
      <c r="M552" s="117"/>
      <c r="N552" s="116"/>
      <c r="O552" s="117"/>
      <c r="P552" s="118"/>
      <c r="Q552" s="117"/>
      <c r="S552" s="40"/>
      <c r="T552" s="116"/>
      <c r="U552" s="117"/>
      <c r="V552" s="116"/>
      <c r="W552" s="116"/>
      <c r="X552" s="117"/>
      <c r="Y552" s="117"/>
    </row>
    <row r="553" spans="2:25" ht="25.5">
      <c r="B553" s="49" t="s">
        <v>996</v>
      </c>
      <c r="C553" s="14" t="s">
        <v>1268</v>
      </c>
      <c r="D553" s="97" t="str">
        <f t="shared" si="25"/>
        <v>Same k as rxn BR11</v>
      </c>
      <c r="E553" s="97"/>
      <c r="F553" s="97"/>
      <c r="G553" s="97"/>
      <c r="H553" s="39" t="s">
        <v>203</v>
      </c>
      <c r="I553" s="49" t="s">
        <v>52</v>
      </c>
      <c r="K553" s="116"/>
      <c r="L553" s="120"/>
      <c r="M553" s="117"/>
      <c r="N553" s="116"/>
      <c r="O553" s="117"/>
      <c r="P553" s="118"/>
      <c r="Q553" s="117"/>
      <c r="S553" s="40"/>
      <c r="T553" s="116"/>
      <c r="U553" s="117"/>
      <c r="V553" s="116"/>
      <c r="W553" s="116"/>
      <c r="X553" s="117"/>
      <c r="Y553" s="117"/>
    </row>
    <row r="554" spans="2:25" ht="15">
      <c r="B554" s="49" t="s">
        <v>998</v>
      </c>
      <c r="C554" s="14" t="s">
        <v>573</v>
      </c>
      <c r="D554" s="97" t="str">
        <f t="shared" si="25"/>
        <v>Same k as rxn BR25</v>
      </c>
      <c r="E554" s="97"/>
      <c r="F554" s="97"/>
      <c r="G554" s="97"/>
      <c r="H554" s="39" t="s">
        <v>203</v>
      </c>
      <c r="I554" s="49" t="s">
        <v>81</v>
      </c>
      <c r="K554" s="116"/>
      <c r="L554" s="120"/>
      <c r="M554" s="117"/>
      <c r="N554" s="116"/>
      <c r="O554" s="117"/>
      <c r="P554" s="118"/>
      <c r="Q554" s="117"/>
      <c r="S554" s="40"/>
      <c r="T554" s="116"/>
      <c r="U554" s="117"/>
      <c r="V554" s="116"/>
      <c r="W554" s="116"/>
      <c r="X554" s="117"/>
      <c r="Y554" s="117"/>
    </row>
    <row r="555" spans="2:25" ht="15">
      <c r="B555" s="49" t="s">
        <v>1000</v>
      </c>
      <c r="C555" s="14" t="s">
        <v>574</v>
      </c>
      <c r="D555" s="97" t="str">
        <f t="shared" si="25"/>
        <v>Same k as rxn BR25</v>
      </c>
      <c r="E555" s="97"/>
      <c r="F555" s="97"/>
      <c r="G555" s="97"/>
      <c r="H555" s="39" t="s">
        <v>203</v>
      </c>
      <c r="I555" s="49" t="s">
        <v>81</v>
      </c>
      <c r="K555" s="116"/>
      <c r="L555" s="120"/>
      <c r="M555" s="117"/>
      <c r="N555" s="116"/>
      <c r="O555" s="117"/>
      <c r="P555" s="118"/>
      <c r="Q555" s="117"/>
      <c r="S555" s="40"/>
      <c r="T555" s="116"/>
      <c r="U555" s="117"/>
      <c r="V555" s="116"/>
      <c r="W555" s="116"/>
      <c r="X555" s="117"/>
      <c r="Y555" s="117"/>
    </row>
    <row r="556" spans="2:25" ht="15">
      <c r="B556" s="49" t="s">
        <v>1001</v>
      </c>
      <c r="C556" s="14" t="s">
        <v>575</v>
      </c>
      <c r="D556" s="97" t="str">
        <f t="shared" si="25"/>
        <v>Same k as rxn BR25</v>
      </c>
      <c r="E556" s="97"/>
      <c r="F556" s="97"/>
      <c r="G556" s="97"/>
      <c r="H556" s="39" t="s">
        <v>203</v>
      </c>
      <c r="I556" s="49" t="s">
        <v>81</v>
      </c>
      <c r="K556" s="116"/>
      <c r="L556" s="120"/>
      <c r="M556" s="117"/>
      <c r="N556" s="116"/>
      <c r="O556" s="117"/>
      <c r="P556" s="118"/>
      <c r="Q556" s="117"/>
      <c r="S556" s="40"/>
      <c r="T556" s="116"/>
      <c r="U556" s="117"/>
      <c r="V556" s="116"/>
      <c r="W556" s="116"/>
      <c r="X556" s="117"/>
      <c r="Y556" s="117"/>
    </row>
    <row r="557" spans="2:25" ht="15">
      <c r="B557" s="49" t="s">
        <v>1002</v>
      </c>
      <c r="C557" s="14" t="s">
        <v>576</v>
      </c>
      <c r="D557" s="97" t="str">
        <f t="shared" si="25"/>
        <v>Same k as rxn BR25</v>
      </c>
      <c r="E557" s="97"/>
      <c r="F557" s="97"/>
      <c r="G557" s="97"/>
      <c r="H557" s="39" t="s">
        <v>203</v>
      </c>
      <c r="I557" s="49" t="s">
        <v>81</v>
      </c>
      <c r="K557" s="116"/>
      <c r="L557" s="120"/>
      <c r="M557" s="117"/>
      <c r="N557" s="116"/>
      <c r="O557" s="117"/>
      <c r="P557" s="118"/>
      <c r="Q557" s="117"/>
      <c r="S557" s="40"/>
      <c r="T557" s="116"/>
      <c r="U557" s="117"/>
      <c r="V557" s="116"/>
      <c r="W557" s="116"/>
      <c r="X557" s="117"/>
      <c r="Y557" s="117"/>
    </row>
    <row r="558" spans="2:25" ht="15">
      <c r="B558" s="49" t="s">
        <v>1003</v>
      </c>
      <c r="C558" s="14" t="s">
        <v>1624</v>
      </c>
      <c r="D558" s="97" t="str">
        <f>IF(H558="QS",CONCATENATE("Same k as rxn ",I558),H558)</f>
        <v>Same k as rxn BR07</v>
      </c>
      <c r="E558" s="97"/>
      <c r="F558" s="97"/>
      <c r="G558" s="97"/>
      <c r="H558" s="39" t="s">
        <v>203</v>
      </c>
      <c r="I558" s="49" t="s">
        <v>44</v>
      </c>
      <c r="K558" s="116"/>
      <c r="L558" s="120"/>
      <c r="M558" s="117"/>
      <c r="N558" s="116"/>
      <c r="O558" s="117"/>
      <c r="P558" s="118"/>
      <c r="Q558" s="117"/>
      <c r="S558" s="40"/>
      <c r="T558" s="116"/>
      <c r="U558" s="117"/>
      <c r="V558" s="116"/>
      <c r="W558" s="116"/>
      <c r="X558" s="117"/>
      <c r="Y558" s="117"/>
    </row>
    <row r="559" spans="2:25" ht="15">
      <c r="B559" s="49" t="s">
        <v>1004</v>
      </c>
      <c r="C559" s="14" t="s">
        <v>1625</v>
      </c>
      <c r="D559" s="97" t="str">
        <f aca="true" t="shared" si="26" ref="D559:D567">IF(H559="QS",CONCATENATE("Same k as rxn ",I559),H559)</f>
        <v>Same k as rxn BR08</v>
      </c>
      <c r="E559" s="97"/>
      <c r="F559" s="97"/>
      <c r="G559" s="97"/>
      <c r="H559" s="39" t="s">
        <v>203</v>
      </c>
      <c r="I559" s="49" t="s">
        <v>46</v>
      </c>
      <c r="K559" s="116"/>
      <c r="L559" s="120"/>
      <c r="M559" s="117"/>
      <c r="N559" s="116"/>
      <c r="O559" s="117"/>
      <c r="P559" s="118"/>
      <c r="Q559" s="117"/>
      <c r="S559" s="40"/>
      <c r="T559" s="116"/>
      <c r="U559" s="117"/>
      <c r="V559" s="116"/>
      <c r="W559" s="116"/>
      <c r="X559" s="117"/>
      <c r="Y559" s="117"/>
    </row>
    <row r="560" spans="2:25" ht="15">
      <c r="B560" s="49" t="s">
        <v>1005</v>
      </c>
      <c r="C560" s="14" t="s">
        <v>1626</v>
      </c>
      <c r="D560" s="97" t="str">
        <f t="shared" si="26"/>
        <v>Same k as rxn BR09</v>
      </c>
      <c r="E560" s="97"/>
      <c r="F560" s="97"/>
      <c r="G560" s="97"/>
      <c r="H560" s="39" t="s">
        <v>203</v>
      </c>
      <c r="I560" s="49" t="s">
        <v>48</v>
      </c>
      <c r="K560" s="116"/>
      <c r="L560" s="120"/>
      <c r="M560" s="117"/>
      <c r="N560" s="116"/>
      <c r="O560" s="117"/>
      <c r="P560" s="118"/>
      <c r="Q560" s="117"/>
      <c r="S560" s="40"/>
      <c r="T560" s="116"/>
      <c r="U560" s="117"/>
      <c r="V560" s="116"/>
      <c r="W560" s="116"/>
      <c r="X560" s="117"/>
      <c r="Y560" s="117"/>
    </row>
    <row r="561" spans="2:25" ht="25.5">
      <c r="B561" s="49" t="s">
        <v>1006</v>
      </c>
      <c r="C561" s="14" t="s">
        <v>1269</v>
      </c>
      <c r="D561" s="97" t="str">
        <f t="shared" si="26"/>
        <v>Same k as rxn BR10</v>
      </c>
      <c r="E561" s="97"/>
      <c r="F561" s="97"/>
      <c r="G561" s="97"/>
      <c r="H561" s="39" t="s">
        <v>203</v>
      </c>
      <c r="I561" s="49" t="s">
        <v>50</v>
      </c>
      <c r="K561" s="116"/>
      <c r="L561" s="120"/>
      <c r="M561" s="117"/>
      <c r="N561" s="116"/>
      <c r="O561" s="117"/>
      <c r="P561" s="118"/>
      <c r="Q561" s="117"/>
      <c r="S561" s="40"/>
      <c r="T561" s="116"/>
      <c r="U561" s="117"/>
      <c r="V561" s="116"/>
      <c r="W561" s="116"/>
      <c r="X561" s="117"/>
      <c r="Y561" s="117"/>
    </row>
    <row r="562" spans="2:25" ht="25.5">
      <c r="B562" s="49" t="s">
        <v>1007</v>
      </c>
      <c r="C562" s="14" t="s">
        <v>1270</v>
      </c>
      <c r="D562" s="97" t="str">
        <f t="shared" si="26"/>
        <v>Same k as rxn BR11</v>
      </c>
      <c r="E562" s="97"/>
      <c r="F562" s="97"/>
      <c r="G562" s="97"/>
      <c r="H562" s="39" t="s">
        <v>203</v>
      </c>
      <c r="I562" s="49" t="s">
        <v>52</v>
      </c>
      <c r="K562" s="116"/>
      <c r="L562" s="120"/>
      <c r="M562" s="117"/>
      <c r="N562" s="116"/>
      <c r="O562" s="117"/>
      <c r="P562" s="118"/>
      <c r="Q562" s="117"/>
      <c r="S562" s="40"/>
      <c r="T562" s="116"/>
      <c r="U562" s="117"/>
      <c r="V562" s="116"/>
      <c r="W562" s="116"/>
      <c r="X562" s="117"/>
      <c r="Y562" s="117"/>
    </row>
    <row r="563" spans="2:25" ht="25.5">
      <c r="B563" s="49" t="s">
        <v>1009</v>
      </c>
      <c r="C563" s="14" t="s">
        <v>1271</v>
      </c>
      <c r="D563" s="97" t="str">
        <f t="shared" si="26"/>
        <v>Same k as rxn BR11</v>
      </c>
      <c r="E563" s="97"/>
      <c r="F563" s="97"/>
      <c r="G563" s="97"/>
      <c r="H563" s="39" t="s">
        <v>203</v>
      </c>
      <c r="I563" s="49" t="s">
        <v>52</v>
      </c>
      <c r="K563" s="116"/>
      <c r="L563" s="120"/>
      <c r="M563" s="117"/>
      <c r="N563" s="116"/>
      <c r="O563" s="117"/>
      <c r="P563" s="118"/>
      <c r="Q563" s="117"/>
      <c r="S563" s="40"/>
      <c r="T563" s="116"/>
      <c r="U563" s="117"/>
      <c r="V563" s="116"/>
      <c r="W563" s="116"/>
      <c r="X563" s="117"/>
      <c r="Y563" s="117"/>
    </row>
    <row r="564" spans="2:25" ht="15">
      <c r="B564" s="49" t="s">
        <v>1011</v>
      </c>
      <c r="C564" s="14" t="s">
        <v>577</v>
      </c>
      <c r="D564" s="97" t="str">
        <f t="shared" si="26"/>
        <v>Same k as rxn BR25</v>
      </c>
      <c r="E564" s="97"/>
      <c r="F564" s="97"/>
      <c r="G564" s="97"/>
      <c r="H564" s="39" t="s">
        <v>203</v>
      </c>
      <c r="I564" s="49" t="s">
        <v>81</v>
      </c>
      <c r="K564" s="116"/>
      <c r="L564" s="120"/>
      <c r="M564" s="117"/>
      <c r="N564" s="116"/>
      <c r="O564" s="117"/>
      <c r="P564" s="118"/>
      <c r="Q564" s="117"/>
      <c r="S564" s="40"/>
      <c r="T564" s="116"/>
      <c r="U564" s="117"/>
      <c r="V564" s="116"/>
      <c r="W564" s="116"/>
      <c r="X564" s="117"/>
      <c r="Y564" s="117"/>
    </row>
    <row r="565" spans="2:25" ht="15">
      <c r="B565" s="49" t="s">
        <v>1013</v>
      </c>
      <c r="C565" s="14" t="s">
        <v>578</v>
      </c>
      <c r="D565" s="97" t="str">
        <f t="shared" si="26"/>
        <v>Same k as rxn BR25</v>
      </c>
      <c r="E565" s="97"/>
      <c r="F565" s="97"/>
      <c r="G565" s="97"/>
      <c r="H565" s="39" t="s">
        <v>203</v>
      </c>
      <c r="I565" s="49" t="s">
        <v>81</v>
      </c>
      <c r="K565" s="116"/>
      <c r="L565" s="120"/>
      <c r="M565" s="117"/>
      <c r="N565" s="116"/>
      <c r="O565" s="117"/>
      <c r="P565" s="118"/>
      <c r="Q565" s="117"/>
      <c r="S565" s="40"/>
      <c r="T565" s="116"/>
      <c r="U565" s="117"/>
      <c r="V565" s="116"/>
      <c r="W565" s="116"/>
      <c r="X565" s="117"/>
      <c r="Y565" s="117"/>
    </row>
    <row r="566" spans="2:25" ht="15">
      <c r="B566" s="49" t="s">
        <v>1014</v>
      </c>
      <c r="C566" s="14" t="s">
        <v>579</v>
      </c>
      <c r="D566" s="97" t="str">
        <f t="shared" si="26"/>
        <v>Same k as rxn BR25</v>
      </c>
      <c r="E566" s="97"/>
      <c r="F566" s="97"/>
      <c r="G566" s="97"/>
      <c r="H566" s="39" t="s">
        <v>203</v>
      </c>
      <c r="I566" s="49" t="s">
        <v>81</v>
      </c>
      <c r="K566" s="116"/>
      <c r="L566" s="120"/>
      <c r="M566" s="117"/>
      <c r="N566" s="116"/>
      <c r="O566" s="117"/>
      <c r="P566" s="118"/>
      <c r="Q566" s="117"/>
      <c r="S566" s="40"/>
      <c r="T566" s="116"/>
      <c r="U566" s="117"/>
      <c r="V566" s="116"/>
      <c r="W566" s="116"/>
      <c r="X566" s="117"/>
      <c r="Y566" s="117"/>
    </row>
    <row r="567" spans="2:25" ht="15">
      <c r="B567" s="49" t="s">
        <v>1015</v>
      </c>
      <c r="C567" s="14" t="s">
        <v>580</v>
      </c>
      <c r="D567" s="97" t="str">
        <f t="shared" si="26"/>
        <v>Same k as rxn BR25</v>
      </c>
      <c r="E567" s="97"/>
      <c r="F567" s="97"/>
      <c r="G567" s="97"/>
      <c r="H567" s="39" t="s">
        <v>203</v>
      </c>
      <c r="I567" s="49" t="s">
        <v>81</v>
      </c>
      <c r="K567" s="116"/>
      <c r="L567" s="120"/>
      <c r="M567" s="117"/>
      <c r="N567" s="116"/>
      <c r="O567" s="117"/>
      <c r="P567" s="118"/>
      <c r="Q567" s="117"/>
      <c r="S567" s="40"/>
      <c r="T567" s="116"/>
      <c r="U567" s="117"/>
      <c r="V567" s="116"/>
      <c r="W567" s="116"/>
      <c r="X567" s="117"/>
      <c r="Y567" s="117"/>
    </row>
    <row r="568" spans="1:25" ht="15">
      <c r="A568" s="13" t="s">
        <v>1088</v>
      </c>
      <c r="D568" s="95"/>
      <c r="E568" s="95"/>
      <c r="F568" s="96"/>
      <c r="G568" s="96"/>
      <c r="J568" s="38"/>
      <c r="K568" s="109"/>
      <c r="L568" s="110"/>
      <c r="M568" s="111"/>
      <c r="N568" s="112"/>
      <c r="O568" s="111"/>
      <c r="P568" s="113"/>
      <c r="Q568" s="111"/>
      <c r="S568" s="40">
        <f aca="true" t="shared" si="27" ref="S568:S586">IF(OR(H568="T",H568="C"),T568,IF(H568="F",(V568/(1+(V568/T568)))*Q568^(1/(1+((LOG10(V568/T568)/R568)^2))),IF(H568="S1",T568+V568,IF(H568="S2",T568+(V568/(1+(V568/T569))),""))))</f>
      </c>
      <c r="T568" s="109"/>
      <c r="U568" s="111"/>
      <c r="V568" s="112"/>
      <c r="W568" s="112"/>
      <c r="X568" s="111"/>
      <c r="Y568" s="111"/>
    </row>
    <row r="569" spans="2:25" ht="15">
      <c r="B569" s="49" t="s">
        <v>1089</v>
      </c>
      <c r="C569" s="14" t="s">
        <v>1627</v>
      </c>
      <c r="D569" s="100">
        <f>IF(OR(H569="T",H569="C"),S569,H569)</f>
        <v>6.616771649345456E-15</v>
      </c>
      <c r="E569" s="100">
        <f>IF(H569="C","",K569)</f>
        <v>1.85E-12</v>
      </c>
      <c r="F569" s="101">
        <f>IF(H569="C","",U569)</f>
        <v>3.3583680000000005</v>
      </c>
      <c r="G569" s="101">
        <f>IF(M569=0,"",M569)</f>
      </c>
      <c r="H569" s="39" t="s">
        <v>1859</v>
      </c>
      <c r="K569" s="116">
        <v>1.85E-12</v>
      </c>
      <c r="L569" s="120">
        <v>1690</v>
      </c>
      <c r="M569" s="117">
        <v>0</v>
      </c>
      <c r="N569" s="116"/>
      <c r="O569" s="117"/>
      <c r="P569" s="118"/>
      <c r="Q569" s="117"/>
      <c r="S569" s="40">
        <f>IF(OR(H569="T",H569="C"),T569,IF(H569="F",(V569/(1+(V569/T569)))*Q569^(1/(1+((LOG10(V569/T569)/R569)^2))),IF(H569="S1",T569+V569,IF(H569="S2",T569+(V569/(1+(V569/#REF!))),""))))</f>
        <v>6.616771649345456E-15</v>
      </c>
      <c r="T569" s="40">
        <f>K569*EXP(-L569/T$4)*((T$4/300)^M569)</f>
        <v>6.616771649345456E-15</v>
      </c>
      <c r="U569" s="15">
        <f>L569*Rfac</f>
        <v>3.3583680000000005</v>
      </c>
      <c r="V569" s="116"/>
      <c r="W569" s="116"/>
      <c r="X569" s="117"/>
      <c r="Y569" s="117"/>
    </row>
    <row r="570" spans="2:25" ht="25.5">
      <c r="B570" s="49" t="s">
        <v>1090</v>
      </c>
      <c r="C570" s="14" t="s">
        <v>1628</v>
      </c>
      <c r="D570" s="100">
        <f>S570</f>
        <v>8.149105658476544E-12</v>
      </c>
      <c r="E570" s="102" t="str">
        <f>IF(H570="F","Falloff, F="&amp;TEXT(Q570,"0.00")&amp;", N="&amp;TEXT(R570,"0.00"),H570)</f>
        <v>Falloff, F=0.60, N=1.00</v>
      </c>
      <c r="F570" s="103"/>
      <c r="G570" s="99"/>
      <c r="H570" s="39" t="s">
        <v>1843</v>
      </c>
      <c r="K570" s="116">
        <v>8.8E-12</v>
      </c>
      <c r="L570" s="41">
        <v>0</v>
      </c>
      <c r="M570" s="117">
        <v>-0.85</v>
      </c>
      <c r="N570" s="116">
        <v>1E-28</v>
      </c>
      <c r="O570" s="117">
        <v>0</v>
      </c>
      <c r="P570" s="118">
        <v>-4.5</v>
      </c>
      <c r="Q570" s="117">
        <v>0.6</v>
      </c>
      <c r="R570" s="41">
        <v>1</v>
      </c>
      <c r="S570" s="40">
        <f t="shared" si="27"/>
        <v>8.149105658476544E-12</v>
      </c>
      <c r="T570" s="40">
        <f>K570*EXP(-L570/T$4)*((T$4/300)^M570)</f>
        <v>8.8E-12</v>
      </c>
      <c r="U570" s="15">
        <f>L570*Rfac</f>
        <v>0</v>
      </c>
      <c r="V570" s="40">
        <f>W570*V$3*7.3395E+21/T$4</f>
        <v>2.4464999999999998E-09</v>
      </c>
      <c r="W570" s="40">
        <f>N570*EXP(-O570/T$4)*(T$4/300)^P570</f>
        <v>1E-28</v>
      </c>
      <c r="X570" s="15">
        <f>O570*Rfac</f>
        <v>0</v>
      </c>
      <c r="Y570" s="15"/>
    </row>
    <row r="571" spans="2:25" ht="15">
      <c r="B571" s="49" t="s">
        <v>1861</v>
      </c>
      <c r="D571" s="104" t="str">
        <f>IF(H570="F","0: ",H570)</f>
        <v>0: </v>
      </c>
      <c r="E571" s="100">
        <f>N570</f>
        <v>1E-28</v>
      </c>
      <c r="F571" s="101">
        <f>X570</f>
        <v>0</v>
      </c>
      <c r="G571" s="101">
        <f>P570</f>
        <v>-4.5</v>
      </c>
      <c r="K571" s="116"/>
      <c r="M571" s="117"/>
      <c r="N571" s="116"/>
      <c r="O571" s="117"/>
      <c r="P571" s="118"/>
      <c r="Q571" s="117"/>
      <c r="S571" s="40">
        <f t="shared" si="27"/>
      </c>
      <c r="U571" s="117"/>
      <c r="V571" s="116"/>
      <c r="W571" s="116"/>
      <c r="X571" s="117"/>
      <c r="Y571" s="117"/>
    </row>
    <row r="572" spans="2:25" ht="15">
      <c r="B572" s="49" t="s">
        <v>1861</v>
      </c>
      <c r="D572" s="104" t="str">
        <f>IF(H570="F","inf: ",H570)</f>
        <v>inf: </v>
      </c>
      <c r="E572" s="100">
        <f>K570</f>
        <v>8.8E-12</v>
      </c>
      <c r="F572" s="101">
        <f>U570</f>
        <v>0</v>
      </c>
      <c r="G572" s="101">
        <f>M570</f>
        <v>-0.85</v>
      </c>
      <c r="K572" s="116"/>
      <c r="M572" s="117"/>
      <c r="N572" s="116"/>
      <c r="O572" s="117"/>
      <c r="P572" s="118"/>
      <c r="Q572" s="117"/>
      <c r="S572" s="40">
        <f t="shared" si="27"/>
      </c>
      <c r="U572" s="117"/>
      <c r="V572" s="116"/>
      <c r="W572" s="116"/>
      <c r="X572" s="117"/>
      <c r="Y572" s="117"/>
    </row>
    <row r="573" spans="2:25" ht="25.5">
      <c r="B573" s="49" t="s">
        <v>1091</v>
      </c>
      <c r="C573" s="14" t="s">
        <v>1629</v>
      </c>
      <c r="D573" s="100">
        <f aca="true" t="shared" si="28" ref="D573:D591">IF(OR(H573="T",H573="C"),S573,H573)</f>
        <v>1.682659212854232E-18</v>
      </c>
      <c r="E573" s="100">
        <f aca="true" t="shared" si="29" ref="E573:E591">IF(H573="C","",K573)</f>
        <v>9.14E-15</v>
      </c>
      <c r="F573" s="101">
        <f aca="true" t="shared" si="30" ref="F573:F591">IF(H573="C","",U573)</f>
        <v>5.127</v>
      </c>
      <c r="G573" s="101">
        <f aca="true" t="shared" si="31" ref="G573:G579">IF(M573=0,"",M573)</f>
      </c>
      <c r="H573" s="39" t="s">
        <v>1859</v>
      </c>
      <c r="K573" s="116">
        <v>9.14E-15</v>
      </c>
      <c r="L573" s="41">
        <v>2580.0120772946857</v>
      </c>
      <c r="M573" s="117">
        <v>0</v>
      </c>
      <c r="N573" s="116"/>
      <c r="O573" s="117"/>
      <c r="P573" s="118"/>
      <c r="Q573" s="117"/>
      <c r="S573" s="40">
        <f t="shared" si="27"/>
        <v>1.682659212854232E-18</v>
      </c>
      <c r="T573" s="40">
        <f aca="true" t="shared" si="32" ref="T573:T583">K573*EXP(-L573/T$4)*((T$4/300)^M573)</f>
        <v>1.682659212854232E-18</v>
      </c>
      <c r="U573" s="15">
        <f aca="true" t="shared" si="33" ref="U573:U583">L573*Rfac</f>
        <v>5.127</v>
      </c>
      <c r="V573" s="116"/>
      <c r="W573" s="116"/>
      <c r="X573" s="117"/>
      <c r="Y573" s="117"/>
    </row>
    <row r="574" spans="2:25" ht="25.5">
      <c r="B574" s="49" t="s">
        <v>1092</v>
      </c>
      <c r="C574" s="14" t="s">
        <v>1630</v>
      </c>
      <c r="D574" s="100">
        <f t="shared" si="28"/>
        <v>2.2350483041981787E-16</v>
      </c>
      <c r="E574" s="100">
        <f t="shared" si="29"/>
        <v>3.3E-12</v>
      </c>
      <c r="F574" s="101">
        <f t="shared" si="30"/>
        <v>5.723136</v>
      </c>
      <c r="G574" s="101">
        <f t="shared" si="31"/>
        <v>2</v>
      </c>
      <c r="H574" s="39" t="s">
        <v>1859</v>
      </c>
      <c r="K574" s="116">
        <v>3.3E-12</v>
      </c>
      <c r="L574" s="41">
        <v>2880</v>
      </c>
      <c r="M574" s="117">
        <v>2</v>
      </c>
      <c r="N574" s="116"/>
      <c r="O574" s="117"/>
      <c r="P574" s="118"/>
      <c r="Q574" s="117"/>
      <c r="S574" s="40">
        <f t="shared" si="27"/>
        <v>2.2350483041981787E-16</v>
      </c>
      <c r="T574" s="40">
        <f t="shared" si="32"/>
        <v>2.2350483041981787E-16</v>
      </c>
      <c r="U574" s="15">
        <f t="shared" si="33"/>
        <v>5.723136</v>
      </c>
      <c r="V574" s="116"/>
      <c r="W574" s="116"/>
      <c r="X574" s="117"/>
      <c r="Y574" s="117"/>
    </row>
    <row r="575" spans="2:25" ht="51">
      <c r="B575" s="49" t="s">
        <v>1093</v>
      </c>
      <c r="C575" s="14" t="s">
        <v>1631</v>
      </c>
      <c r="D575" s="100">
        <f t="shared" si="28"/>
        <v>7.434729280839764E-13</v>
      </c>
      <c r="E575" s="100">
        <f t="shared" si="29"/>
        <v>1.07E-11</v>
      </c>
      <c r="F575" s="101">
        <f t="shared" si="30"/>
        <v>1.58976</v>
      </c>
      <c r="G575" s="101">
        <f t="shared" si="31"/>
      </c>
      <c r="H575" s="39" t="s">
        <v>1859</v>
      </c>
      <c r="K575" s="116">
        <v>1.07E-11</v>
      </c>
      <c r="L575" s="41">
        <v>800</v>
      </c>
      <c r="M575" s="117">
        <v>0</v>
      </c>
      <c r="N575" s="116"/>
      <c r="O575" s="117"/>
      <c r="P575" s="118"/>
      <c r="Q575" s="117"/>
      <c r="S575" s="40">
        <f>IF(OR(H575="T",H575="C"),T575,IF(H575="F",(V575/(1+(V575/T575)))*Q575^(1/(1+((LOG10(V575/T575)/R575)^2))),IF(H575="S1",T575+V575,IF(H575="S2",T575+(V575/(1+(V575/#REF!))),""))))</f>
        <v>7.434729280839764E-13</v>
      </c>
      <c r="T575" s="40">
        <f t="shared" si="32"/>
        <v>7.434729280839764E-13</v>
      </c>
      <c r="U575" s="15">
        <f t="shared" si="33"/>
        <v>1.58976</v>
      </c>
      <c r="V575" s="116"/>
      <c r="W575" s="116"/>
      <c r="X575" s="117"/>
      <c r="Y575" s="117"/>
    </row>
    <row r="576" spans="2:25" ht="51">
      <c r="B576" s="141" t="s">
        <v>581</v>
      </c>
      <c r="C576" s="14" t="s">
        <v>1095</v>
      </c>
      <c r="D576" s="100">
        <f t="shared" si="28"/>
        <v>2.6022946459941574E-11</v>
      </c>
      <c r="E576" s="100">
        <f t="shared" si="29"/>
        <v>4.85E-12</v>
      </c>
      <c r="F576" s="101">
        <f t="shared" si="30"/>
        <v>-1.0015488000000001</v>
      </c>
      <c r="G576" s="101">
        <f t="shared" si="31"/>
      </c>
      <c r="H576" s="39" t="s">
        <v>1859</v>
      </c>
      <c r="K576" s="116">
        <v>4.85E-12</v>
      </c>
      <c r="L576" s="41">
        <v>-504</v>
      </c>
      <c r="M576" s="117"/>
      <c r="N576" s="116"/>
      <c r="O576" s="117"/>
      <c r="P576" s="118"/>
      <c r="Q576" s="117"/>
      <c r="S576" s="40">
        <f>IF(OR(H576="T",H576="C"),T576,IF(H576="F",(V576/(1+(V576/T576)))*Q576^(1/(1+((LOG10(V576/T576)/R576)^2))),IF(H576="S1",T576+V576,IF(H576="S2",T576+(V576/(1+(V576/T577))),""))))</f>
        <v>2.6022946459941574E-11</v>
      </c>
      <c r="T576" s="40">
        <f t="shared" si="32"/>
        <v>2.6022946459941574E-11</v>
      </c>
      <c r="U576" s="15">
        <f t="shared" si="33"/>
        <v>-1.0015488000000001</v>
      </c>
      <c r="V576" s="116"/>
      <c r="W576" s="116"/>
      <c r="X576" s="117"/>
      <c r="Y576" s="117"/>
    </row>
    <row r="577" spans="2:25" ht="51">
      <c r="B577" s="141" t="s">
        <v>582</v>
      </c>
      <c r="C577" s="14" t="s">
        <v>1097</v>
      </c>
      <c r="D577" s="100">
        <f t="shared" si="28"/>
        <v>1.0530964339445833E-17</v>
      </c>
      <c r="E577" s="100">
        <f t="shared" si="29"/>
        <v>5.51E-15</v>
      </c>
      <c r="F577" s="101">
        <f t="shared" si="30"/>
        <v>3.7319616000000004</v>
      </c>
      <c r="G577" s="101">
        <f t="shared" si="31"/>
      </c>
      <c r="H577" s="39" t="s">
        <v>1859</v>
      </c>
      <c r="K577" s="116">
        <v>5.51E-15</v>
      </c>
      <c r="L577" s="41">
        <v>1878</v>
      </c>
      <c r="M577" s="117"/>
      <c r="N577" s="116"/>
      <c r="O577" s="117"/>
      <c r="P577" s="118"/>
      <c r="Q577" s="117"/>
      <c r="S577" s="40">
        <f>IF(OR(H577="T",H577="C"),T577,IF(H577="F",(V577/(1+(V577/T577)))*Q577^(1/(1+((LOG10(V577/T577)/R577)^2))),IF(H577="S1",T577+V577,IF(H577="S2",T577+(V577/(1+(V577/T578))),""))))</f>
        <v>1.0530964339445833E-17</v>
      </c>
      <c r="T577" s="40">
        <f t="shared" si="32"/>
        <v>1.0530964339445833E-17</v>
      </c>
      <c r="U577" s="15">
        <f t="shared" si="33"/>
        <v>3.7319616000000004</v>
      </c>
      <c r="V577" s="116"/>
      <c r="W577" s="116"/>
      <c r="X577" s="117"/>
      <c r="Y577" s="117"/>
    </row>
    <row r="578" spans="2:25" ht="38.25">
      <c r="B578" s="141" t="s">
        <v>583</v>
      </c>
      <c r="C578" s="14" t="s">
        <v>1099</v>
      </c>
      <c r="D578" s="100">
        <f t="shared" si="28"/>
        <v>9.734895231549943E-15</v>
      </c>
      <c r="E578" s="100">
        <f t="shared" si="29"/>
        <v>4.59E-13</v>
      </c>
      <c r="F578" s="101">
        <f t="shared" si="30"/>
        <v>2.2972032000000002</v>
      </c>
      <c r="G578" s="101">
        <f t="shared" si="31"/>
      </c>
      <c r="H578" s="39" t="s">
        <v>1859</v>
      </c>
      <c r="K578" s="116">
        <v>4.59E-13</v>
      </c>
      <c r="L578" s="41">
        <v>1156</v>
      </c>
      <c r="M578" s="117"/>
      <c r="N578" s="116"/>
      <c r="O578" s="117"/>
      <c r="P578" s="118"/>
      <c r="Q578" s="117"/>
      <c r="S578" s="40">
        <f>IF(OR(H578="T",H578="C"),T578,IF(H578="F",(V578/(1+(V578/T578)))*Q578^(1/(1+((LOG10(V578/T578)/R578)^2))),IF(H578="S1",T578+V578,IF(H578="S2",T578+(V578/(1+(V578/T579))),""))))</f>
        <v>9.734895231549943E-15</v>
      </c>
      <c r="T578" s="40">
        <f t="shared" si="32"/>
        <v>9.734895231549943E-15</v>
      </c>
      <c r="U578" s="15">
        <f t="shared" si="33"/>
        <v>2.2972032000000002</v>
      </c>
      <c r="V578" s="116"/>
      <c r="W578" s="116"/>
      <c r="X578" s="117"/>
      <c r="Y578" s="117"/>
    </row>
    <row r="579" spans="2:25" ht="25.5">
      <c r="B579" s="141" t="s">
        <v>584</v>
      </c>
      <c r="C579" s="14" t="s">
        <v>1101</v>
      </c>
      <c r="D579" s="100">
        <f t="shared" si="28"/>
        <v>4.011055352859702E-12</v>
      </c>
      <c r="E579" s="100">
        <f t="shared" si="29"/>
        <v>1.02E-11</v>
      </c>
      <c r="F579" s="101">
        <f t="shared" si="30"/>
        <v>0.556416</v>
      </c>
      <c r="G579" s="101">
        <f t="shared" si="31"/>
      </c>
      <c r="H579" s="39" t="s">
        <v>1859</v>
      </c>
      <c r="K579" s="116">
        <v>1.02E-11</v>
      </c>
      <c r="L579" s="41">
        <v>280</v>
      </c>
      <c r="M579" s="117"/>
      <c r="N579" s="116"/>
      <c r="O579" s="117"/>
      <c r="P579" s="118"/>
      <c r="Q579" s="117"/>
      <c r="S579" s="40">
        <f>IF(OR(H579="T",H579="C"),T579,IF(H579="F",(V579/(1+(V579/T579)))*Q579^(1/(1+((LOG10(V579/T579)/R579)^2))),IF(H579="S1",T579+V579,IF(H579="S2",T579+(V579/(1+(V579/#REF!))),""))))</f>
        <v>4.011055352859702E-12</v>
      </c>
      <c r="T579" s="40">
        <f t="shared" si="32"/>
        <v>4.011055352859702E-12</v>
      </c>
      <c r="U579" s="15">
        <f t="shared" si="33"/>
        <v>0.556416</v>
      </c>
      <c r="V579" s="116"/>
      <c r="W579" s="116"/>
      <c r="X579" s="117"/>
      <c r="Y579" s="117"/>
    </row>
    <row r="580" spans="2:25" ht="51">
      <c r="B580" s="141" t="s">
        <v>585</v>
      </c>
      <c r="C580" s="14" t="s">
        <v>1632</v>
      </c>
      <c r="D580" s="100">
        <f t="shared" si="28"/>
        <v>6.588827562708119E-11</v>
      </c>
      <c r="E580" s="100">
        <f t="shared" si="29"/>
        <v>1.48E-11</v>
      </c>
      <c r="F580" s="101">
        <f t="shared" si="30"/>
        <v>-0.8902656000000001</v>
      </c>
      <c r="G580" s="101"/>
      <c r="H580" s="39" t="s">
        <v>1859</v>
      </c>
      <c r="K580" s="116">
        <v>1.48E-11</v>
      </c>
      <c r="L580" s="41">
        <v>-448</v>
      </c>
      <c r="M580" s="117"/>
      <c r="N580" s="116"/>
      <c r="O580" s="117"/>
      <c r="P580" s="118"/>
      <c r="Q580" s="117"/>
      <c r="S580" s="40">
        <f>IF(OR(H580="T",H580="C"),T580,IF(H580="F",(V580/(1+(V580/T580)))*Q580^(1/(1+((LOG10(V580/T580)/R580)^2))),IF(H580="S1",T580+V580,IF(H580="S2",T580+(V580/(1+(V580/T581))),""))))</f>
        <v>6.588827562708119E-11</v>
      </c>
      <c r="T580" s="40">
        <f t="shared" si="32"/>
        <v>6.588827562708119E-11</v>
      </c>
      <c r="U580" s="15">
        <f t="shared" si="33"/>
        <v>-0.8902656000000001</v>
      </c>
      <c r="V580" s="116"/>
      <c r="W580" s="116"/>
      <c r="X580" s="117"/>
      <c r="Y580" s="117"/>
    </row>
    <row r="581" spans="2:25" ht="51">
      <c r="B581" s="141" t="s">
        <v>586</v>
      </c>
      <c r="C581" s="14" t="s">
        <v>1633</v>
      </c>
      <c r="D581" s="100">
        <f t="shared" si="28"/>
        <v>6.639322903597285E-18</v>
      </c>
      <c r="E581" s="100">
        <f t="shared" si="29"/>
        <v>1.34E-14</v>
      </c>
      <c r="F581" s="101">
        <f t="shared" si="30"/>
        <v>4.536777600000001</v>
      </c>
      <c r="G581" s="101"/>
      <c r="H581" s="39" t="s">
        <v>1859</v>
      </c>
      <c r="K581" s="116">
        <v>1.34E-14</v>
      </c>
      <c r="L581" s="41">
        <v>2283</v>
      </c>
      <c r="M581" s="117"/>
      <c r="N581" s="116"/>
      <c r="O581" s="117"/>
      <c r="P581" s="118"/>
      <c r="Q581" s="117"/>
      <c r="S581" s="40">
        <f>IF(OR(H581="T",H581="C"),T581,IF(H581="F",(V581/(1+(V581/T581)))*Q581^(1/(1+((LOG10(V581/T581)/R581)^2))),IF(H581="S1",T581+V581,IF(H581="S2",T581+(V581/(1+(V581/T582))),""))))</f>
        <v>6.639322903597285E-18</v>
      </c>
      <c r="T581" s="40">
        <f t="shared" si="32"/>
        <v>6.639322903597285E-18</v>
      </c>
      <c r="U581" s="15">
        <f t="shared" si="33"/>
        <v>4.536777600000001</v>
      </c>
      <c r="V581" s="116"/>
      <c r="W581" s="116"/>
      <c r="X581" s="117"/>
      <c r="Y581" s="117"/>
    </row>
    <row r="582" spans="2:25" ht="63.75">
      <c r="B582" s="141" t="s">
        <v>587</v>
      </c>
      <c r="C582" s="14" t="s">
        <v>1105</v>
      </c>
      <c r="D582" s="100">
        <f t="shared" si="28"/>
        <v>1E-13</v>
      </c>
      <c r="E582" s="100">
        <f t="shared" si="29"/>
      </c>
      <c r="F582" s="101">
        <f t="shared" si="30"/>
      </c>
      <c r="G582" s="101"/>
      <c r="H582" s="39" t="s">
        <v>1851</v>
      </c>
      <c r="K582" s="116">
        <v>1E-13</v>
      </c>
      <c r="M582" s="117"/>
      <c r="N582" s="116"/>
      <c r="O582" s="117"/>
      <c r="P582" s="118"/>
      <c r="Q582" s="117"/>
      <c r="S582" s="40">
        <f>IF(OR(H582="T",H582="C"),T582,IF(H582="F",(V582/(1+(V582/T582)))*Q582^(1/(1+((LOG10(V582/T582)/R582)^2))),IF(H582="S1",T582+V582,IF(H582="S2",T582+(V582/(1+(V582/T583))),""))))</f>
        <v>1E-13</v>
      </c>
      <c r="T582" s="40">
        <f t="shared" si="32"/>
        <v>1E-13</v>
      </c>
      <c r="U582" s="15">
        <f t="shared" si="33"/>
        <v>0</v>
      </c>
      <c r="V582" s="116"/>
      <c r="W582" s="116"/>
      <c r="X582" s="117"/>
      <c r="Y582" s="117"/>
    </row>
    <row r="583" spans="2:25" ht="63.75">
      <c r="B583" s="141" t="s">
        <v>588</v>
      </c>
      <c r="C583" s="14" t="s">
        <v>1634</v>
      </c>
      <c r="D583" s="100">
        <f t="shared" si="28"/>
        <v>1.9778917010370616E-11</v>
      </c>
      <c r="E583" s="100">
        <f t="shared" si="29"/>
        <v>2.26E-11</v>
      </c>
      <c r="F583" s="101">
        <f t="shared" si="30"/>
        <v>0.079488</v>
      </c>
      <c r="G583" s="101"/>
      <c r="H583" s="39" t="s">
        <v>1859</v>
      </c>
      <c r="K583" s="116">
        <v>2.26E-11</v>
      </c>
      <c r="L583" s="41">
        <v>40</v>
      </c>
      <c r="M583" s="117"/>
      <c r="N583" s="116"/>
      <c r="O583" s="117"/>
      <c r="P583" s="118"/>
      <c r="Q583" s="117"/>
      <c r="S583" s="40">
        <f>IF(OR(H583="T",H583="C"),T583,IF(H583="F",(V583/(1+(V583/T583)))*Q583^(1/(1+((LOG10(V583/T583)/R583)^2))),IF(H583="S1",T583+V583,IF(H583="S2",T583+(V583/(1+(V583/#REF!))),""))))</f>
        <v>1.9778917010370616E-11</v>
      </c>
      <c r="T583" s="40">
        <f t="shared" si="32"/>
        <v>1.9778917010370616E-11</v>
      </c>
      <c r="U583" s="15">
        <f t="shared" si="33"/>
        <v>0.079488</v>
      </c>
      <c r="V583" s="116"/>
      <c r="W583" s="116"/>
      <c r="X583" s="117"/>
      <c r="Y583" s="117"/>
    </row>
    <row r="584" spans="2:25" ht="51">
      <c r="B584" s="141" t="s">
        <v>1094</v>
      </c>
      <c r="C584" s="14" t="s">
        <v>1635</v>
      </c>
      <c r="D584" s="100">
        <f t="shared" si="28"/>
        <v>9.962526934459915E-11</v>
      </c>
      <c r="E584" s="100">
        <f t="shared" si="29"/>
        <v>2.54E-11</v>
      </c>
      <c r="F584" s="101">
        <f t="shared" si="30"/>
        <v>-0.814752</v>
      </c>
      <c r="G584" s="101">
        <f>IF(M584=0,"",M584)</f>
      </c>
      <c r="H584" s="39" t="s">
        <v>1859</v>
      </c>
      <c r="K584" s="116">
        <v>2.54E-11</v>
      </c>
      <c r="L584" s="41">
        <v>-410</v>
      </c>
      <c r="M584" s="117">
        <v>0</v>
      </c>
      <c r="N584" s="116"/>
      <c r="O584" s="117"/>
      <c r="P584" s="118"/>
      <c r="Q584" s="117"/>
      <c r="S584" s="40">
        <f t="shared" si="27"/>
        <v>9.962526934459915E-11</v>
      </c>
      <c r="T584" s="40">
        <f aca="true" t="shared" si="34" ref="T584:T600">K584*EXP(-L584/T$4)*((T$4/300)^M584)</f>
        <v>9.962526934459915E-11</v>
      </c>
      <c r="U584" s="15">
        <f aca="true" t="shared" si="35" ref="U584:U600">L584*Rfac</f>
        <v>-0.814752</v>
      </c>
      <c r="V584" s="116"/>
      <c r="W584" s="116"/>
      <c r="X584" s="117"/>
      <c r="Y584" s="117"/>
    </row>
    <row r="585" spans="2:25" ht="89.25">
      <c r="B585" s="141" t="s">
        <v>1096</v>
      </c>
      <c r="C585" s="14" t="s">
        <v>1636</v>
      </c>
      <c r="D585" s="100">
        <f t="shared" si="28"/>
        <v>1.3402136499166233E-17</v>
      </c>
      <c r="E585" s="100">
        <f t="shared" si="29"/>
        <v>7.86E-15</v>
      </c>
      <c r="F585" s="101">
        <f t="shared" si="30"/>
        <v>3.8</v>
      </c>
      <c r="G585" s="101">
        <f>IF(M585=0,"",M585)</f>
      </c>
      <c r="H585" s="39" t="s">
        <v>1859</v>
      </c>
      <c r="K585" s="116">
        <v>7.86E-15</v>
      </c>
      <c r="L585" s="41">
        <v>1912.2383252818033</v>
      </c>
      <c r="M585" s="117">
        <v>0</v>
      </c>
      <c r="N585" s="116"/>
      <c r="O585" s="117"/>
      <c r="P585" s="118"/>
      <c r="Q585" s="117"/>
      <c r="S585" s="40">
        <f t="shared" si="27"/>
        <v>1.3402136499166233E-17</v>
      </c>
      <c r="T585" s="40">
        <f t="shared" si="34"/>
        <v>1.3402136499166233E-17</v>
      </c>
      <c r="U585" s="15">
        <f t="shared" si="35"/>
        <v>3.8</v>
      </c>
      <c r="V585" s="116"/>
      <c r="W585" s="116"/>
      <c r="X585" s="117"/>
      <c r="Y585" s="117"/>
    </row>
    <row r="586" spans="2:25" ht="51">
      <c r="B586" s="141" t="s">
        <v>1098</v>
      </c>
      <c r="C586" s="14" t="s">
        <v>1637</v>
      </c>
      <c r="D586" s="100">
        <f t="shared" si="28"/>
        <v>6.809099620912515E-13</v>
      </c>
      <c r="E586" s="100">
        <f t="shared" si="29"/>
        <v>3.03E-12</v>
      </c>
      <c r="F586" s="101">
        <f t="shared" si="30"/>
        <v>0.89</v>
      </c>
      <c r="G586" s="101">
        <f>IF(M586=0,"",M586)</f>
      </c>
      <c r="H586" s="39" t="s">
        <v>1859</v>
      </c>
      <c r="K586" s="116">
        <v>3.03E-12</v>
      </c>
      <c r="L586" s="41">
        <v>447.86634460547504</v>
      </c>
      <c r="M586" s="117">
        <v>0</v>
      </c>
      <c r="N586" s="116"/>
      <c r="O586" s="117"/>
      <c r="P586" s="118"/>
      <c r="Q586" s="117"/>
      <c r="S586" s="40">
        <f t="shared" si="27"/>
        <v>6.809099620912515E-13</v>
      </c>
      <c r="T586" s="40">
        <f t="shared" si="34"/>
        <v>6.809099620912515E-13</v>
      </c>
      <c r="U586" s="15">
        <f t="shared" si="35"/>
        <v>0.89</v>
      </c>
      <c r="V586" s="116"/>
      <c r="W586" s="116"/>
      <c r="X586" s="117"/>
      <c r="Y586" s="117"/>
    </row>
    <row r="587" spans="2:25" ht="51">
      <c r="B587" s="141" t="s">
        <v>1100</v>
      </c>
      <c r="C587" s="14" t="s">
        <v>1638</v>
      </c>
      <c r="D587" s="100">
        <f t="shared" si="28"/>
        <v>3.5E-11</v>
      </c>
      <c r="E587" s="100">
        <f t="shared" si="29"/>
      </c>
      <c r="F587" s="101">
        <f t="shared" si="30"/>
      </c>
      <c r="G587" s="101">
        <f>IF(M587=0,"",M587)</f>
      </c>
      <c r="H587" s="39" t="s">
        <v>1851</v>
      </c>
      <c r="K587" s="116">
        <v>3.5E-11</v>
      </c>
      <c r="M587" s="117"/>
      <c r="N587" s="116"/>
      <c r="O587" s="117"/>
      <c r="P587" s="118"/>
      <c r="Q587" s="117"/>
      <c r="S587" s="40">
        <f>IF(OR(H587="T",H587="C"),T587,IF(H587="F",(V587/(1+(V587/T587)))*Q587^(1/(1+((LOG10(V587/T587)/R587)^2))),IF(H587="S1",T587+V587,IF(H587="S2",T587+(V587/(1+(V587/#REF!))),""))))</f>
        <v>3.5E-11</v>
      </c>
      <c r="T587" s="40">
        <f t="shared" si="34"/>
        <v>3.5E-11</v>
      </c>
      <c r="U587" s="15">
        <f t="shared" si="35"/>
        <v>0</v>
      </c>
      <c r="V587" s="116"/>
      <c r="W587" s="116"/>
      <c r="X587" s="117"/>
      <c r="Y587" s="117"/>
    </row>
    <row r="588" spans="2:25" ht="63.75">
      <c r="B588" s="141" t="s">
        <v>589</v>
      </c>
      <c r="C588" s="14" t="s">
        <v>1106</v>
      </c>
      <c r="D588" s="100">
        <f t="shared" si="28"/>
        <v>5.1755918147035806E-11</v>
      </c>
      <c r="E588" s="100">
        <f t="shared" si="29"/>
        <v>1.21E-11</v>
      </c>
      <c r="F588" s="101">
        <f t="shared" si="30"/>
        <v>-0.8664192000000001</v>
      </c>
      <c r="G588" s="101"/>
      <c r="H588" s="39" t="s">
        <v>1859</v>
      </c>
      <c r="K588" s="116">
        <v>1.21E-11</v>
      </c>
      <c r="L588" s="41">
        <v>-436</v>
      </c>
      <c r="M588" s="117"/>
      <c r="N588" s="116"/>
      <c r="O588" s="117"/>
      <c r="P588" s="118"/>
      <c r="Q588" s="117"/>
      <c r="S588" s="40">
        <f>IF(OR(H588="T",H588="C"),T588,IF(H588="F",(V588/(1+(V588/T588)))*Q588^(1/(1+((LOG10(V588/T588)/R588)^2))),IF(H588="S1",T588+V588,IF(H588="S2",T588+(V588/(1+(V588/T589))),""))))</f>
        <v>5.1755918147035806E-11</v>
      </c>
      <c r="T588" s="40">
        <f>K588*EXP(-L588/T$4)*((T$4/300)^M588)</f>
        <v>5.1755918147035806E-11</v>
      </c>
      <c r="U588" s="15">
        <f>L588*Rfac</f>
        <v>-0.8664192000000001</v>
      </c>
      <c r="V588" s="116"/>
      <c r="W588" s="116"/>
      <c r="X588" s="117"/>
      <c r="Y588" s="117"/>
    </row>
    <row r="589" spans="2:25" ht="89.25">
      <c r="B589" s="141" t="s">
        <v>590</v>
      </c>
      <c r="C589" s="14" t="s">
        <v>1107</v>
      </c>
      <c r="D589" s="100">
        <f t="shared" si="28"/>
        <v>8.545085640076242E-17</v>
      </c>
      <c r="E589" s="100">
        <f t="shared" si="29"/>
        <v>5E-16</v>
      </c>
      <c r="F589" s="101">
        <f t="shared" si="30"/>
        <v>1.0532160000000002</v>
      </c>
      <c r="G589" s="101"/>
      <c r="H589" s="39" t="s">
        <v>1859</v>
      </c>
      <c r="K589" s="116">
        <v>5E-16</v>
      </c>
      <c r="L589" s="41">
        <v>530</v>
      </c>
      <c r="M589" s="117"/>
      <c r="N589" s="116"/>
      <c r="O589" s="117"/>
      <c r="P589" s="118"/>
      <c r="Q589" s="117"/>
      <c r="S589" s="40">
        <f>IF(OR(H589="T",H589="C"),T589,IF(H589="F",(V589/(1+(V589/T589)))*Q589^(1/(1+((LOG10(V589/T589)/R589)^2))),IF(H589="S1",T589+V589,IF(H589="S2",T589+(V589/(1+(V589/T590))),""))))</f>
        <v>8.545085640076242E-17</v>
      </c>
      <c r="T589" s="40">
        <f>K589*EXP(-L589/T$4)*((T$4/300)^M589)</f>
        <v>8.545085640076242E-17</v>
      </c>
      <c r="U589" s="15">
        <f>L589*Rfac</f>
        <v>1.0532160000000002</v>
      </c>
      <c r="V589" s="116"/>
      <c r="W589" s="116"/>
      <c r="X589" s="117"/>
      <c r="Y589" s="117"/>
    </row>
    <row r="590" spans="2:25" ht="76.5">
      <c r="B590" s="141" t="s">
        <v>591</v>
      </c>
      <c r="C590" s="14" t="s">
        <v>1108</v>
      </c>
      <c r="D590" s="100">
        <f t="shared" si="28"/>
        <v>6.0938900645811166E-12</v>
      </c>
      <c r="E590" s="100">
        <f t="shared" si="29"/>
        <v>1.19E-12</v>
      </c>
      <c r="F590" s="101">
        <f t="shared" si="30"/>
        <v>-0.973728</v>
      </c>
      <c r="G590" s="101"/>
      <c r="H590" s="39" t="s">
        <v>1859</v>
      </c>
      <c r="K590" s="116">
        <v>1.19E-12</v>
      </c>
      <c r="L590" s="41">
        <v>-490</v>
      </c>
      <c r="M590" s="117"/>
      <c r="N590" s="116"/>
      <c r="O590" s="117"/>
      <c r="P590" s="118"/>
      <c r="Q590" s="117"/>
      <c r="S590" s="40">
        <f>IF(OR(H590="T",H590="C"),T590,IF(H590="F",(V590/(1+(V590/T590)))*Q590^(1/(1+((LOG10(V590/T590)/R590)^2))),IF(H590="S1",T590+V590,IF(H590="S2",T590+(V590/(1+(V590/T591))),""))))</f>
        <v>6.0938900645811166E-12</v>
      </c>
      <c r="T590" s="40">
        <f>K590*EXP(-L590/T$4)*((T$4/300)^M590)</f>
        <v>6.0938900645811166E-12</v>
      </c>
      <c r="U590" s="15">
        <f>L590*Rfac</f>
        <v>-0.973728</v>
      </c>
      <c r="V590" s="116"/>
      <c r="W590" s="116"/>
      <c r="X590" s="117"/>
      <c r="Y590" s="117"/>
    </row>
    <row r="591" spans="2:25" ht="15">
      <c r="B591" s="141" t="s">
        <v>592</v>
      </c>
      <c r="C591" s="14" t="s">
        <v>1109</v>
      </c>
      <c r="D591" s="100">
        <f t="shared" si="28"/>
        <v>3.2E-11</v>
      </c>
      <c r="E591" s="100">
        <f t="shared" si="29"/>
      </c>
      <c r="F591" s="101">
        <f t="shared" si="30"/>
      </c>
      <c r="G591" s="101"/>
      <c r="H591" s="39" t="s">
        <v>1851</v>
      </c>
      <c r="K591" s="116">
        <v>3.2E-11</v>
      </c>
      <c r="M591" s="117"/>
      <c r="N591" s="116"/>
      <c r="O591" s="117"/>
      <c r="P591" s="118"/>
      <c r="Q591" s="117"/>
      <c r="S591" s="40">
        <f>IF(OR(H591="T",H591="C"),T591,IF(H591="F",(V591/(1+(V591/T591)))*Q591^(1/(1+((LOG10(V591/T591)/R591)^2))),IF(H591="S1",T591+V591,IF(H591="S2",T591+(V591/(1+(V591/#REF!))),""))))</f>
        <v>3.2E-11</v>
      </c>
      <c r="T591" s="40">
        <f>K591*EXP(-L591/T$4)*((T$4/300)^M591)</f>
        <v>3.2E-11</v>
      </c>
      <c r="U591" s="15">
        <f>L591*Rfac</f>
        <v>0</v>
      </c>
      <c r="V591" s="116"/>
      <c r="W591" s="116"/>
      <c r="X591" s="117"/>
      <c r="Y591" s="117"/>
    </row>
    <row r="592" spans="2:25" ht="25.5">
      <c r="B592" s="141" t="s">
        <v>1102</v>
      </c>
      <c r="C592" s="14" t="s">
        <v>1639</v>
      </c>
      <c r="D592" s="100">
        <f>S592</f>
        <v>7.563094435953232E-13</v>
      </c>
      <c r="E592" s="100" t="str">
        <f>IF(H592="F","Falloff, F="&amp;TEXT(Q592,"0.00")&amp;", N="&amp;TEXT(R592,"0.00"),H592)</f>
        <v>Falloff, F=0.60, N=1.00</v>
      </c>
      <c r="F592" s="101"/>
      <c r="G592" s="101"/>
      <c r="H592" s="39" t="s">
        <v>1843</v>
      </c>
      <c r="K592" s="116">
        <v>8.3E-13</v>
      </c>
      <c r="M592" s="117"/>
      <c r="N592" s="116">
        <v>5.5E-30</v>
      </c>
      <c r="O592" s="117"/>
      <c r="P592" s="118">
        <v>-2</v>
      </c>
      <c r="Q592" s="117">
        <v>0.6</v>
      </c>
      <c r="R592" s="3">
        <v>1</v>
      </c>
      <c r="S592" s="40">
        <f>IF(OR(H592="T",H592="C"),T592,IF(H592="F",(V592/(1+(V592/T592)))*Q592^(1/(1+((LOG10(V592/T592)/R592)^2))),IF(H592="S1",T592+V592,IF(H592="S2",T592+(V592/(1+(V592/T593))),""))))</f>
        <v>7.563094435953232E-13</v>
      </c>
      <c r="T592" s="40">
        <f t="shared" si="34"/>
        <v>8.3E-13</v>
      </c>
      <c r="U592" s="15">
        <f t="shared" si="35"/>
        <v>0</v>
      </c>
      <c r="V592" s="116">
        <f>W592*V$3*7.3395E+21/T$4</f>
        <v>1.345575E-10</v>
      </c>
      <c r="W592" s="116">
        <f>N592*EXP(-O592/T$4)*(T$4/300)^P592</f>
        <v>5.5E-30</v>
      </c>
      <c r="X592" s="117">
        <f>O592*Rfac</f>
        <v>0</v>
      </c>
      <c r="Y592" s="117"/>
    </row>
    <row r="593" spans="2:25" ht="25.5">
      <c r="B593" s="141" t="s">
        <v>1103</v>
      </c>
      <c r="C593" s="14" t="s">
        <v>1640</v>
      </c>
      <c r="D593" s="100">
        <f>IF(OR(H593="T",H593="C"),S593,H593)</f>
        <v>1.1604918121968607E-20</v>
      </c>
      <c r="E593" s="100">
        <f>IF(H593="C","",K593)</f>
        <v>1E-14</v>
      </c>
      <c r="F593" s="101">
        <f>IF(H593="C","",U593)</f>
        <v>8.14752</v>
      </c>
      <c r="G593" s="101"/>
      <c r="H593" s="39" t="s">
        <v>1859</v>
      </c>
      <c r="K593" s="116">
        <v>1E-14</v>
      </c>
      <c r="L593" s="41">
        <v>4100</v>
      </c>
      <c r="M593" s="117"/>
      <c r="N593" s="116"/>
      <c r="O593" s="117"/>
      <c r="P593" s="118"/>
      <c r="Q593" s="117"/>
      <c r="S593" s="40">
        <f>IF(OR(H593="T",H593="C"),T593,IF(H593="F",(V593/(1+(V593/T593)))*Q593^(1/(1+((LOG10(V593/T593)/R593)^2))),IF(H593="S1",T593+V593,IF(H593="S2",T593+(V593/(1+(V593/#REF!))),""))))</f>
        <v>1.1604918121968607E-20</v>
      </c>
      <c r="T593" s="40">
        <f t="shared" si="34"/>
        <v>1.1604918121968607E-20</v>
      </c>
      <c r="U593" s="15">
        <f t="shared" si="35"/>
        <v>8.14752</v>
      </c>
      <c r="V593" s="116"/>
      <c r="W593" s="116"/>
      <c r="X593" s="117"/>
      <c r="Y593" s="117"/>
    </row>
    <row r="594" spans="2:25" ht="63.75">
      <c r="B594" s="141" t="s">
        <v>1104</v>
      </c>
      <c r="C594" s="14" t="s">
        <v>1641</v>
      </c>
      <c r="D594" s="100">
        <f aca="true" t="shared" si="36" ref="D594:D599">IF(OR(H594="T",H594="C"),S594,H594)</f>
        <v>1.2245028614568094E-12</v>
      </c>
      <c r="E594" s="100">
        <f aca="true" t="shared" si="37" ref="E594:E599">IF(H594="C","",K594)</f>
        <v>2.33E-12</v>
      </c>
      <c r="F594" s="101">
        <f aca="true" t="shared" si="38" ref="F594:F599">IF(H594="C","",U594)</f>
        <v>0.3835296</v>
      </c>
      <c r="G594" s="101"/>
      <c r="H594" s="39" t="s">
        <v>1859</v>
      </c>
      <c r="K594" s="116">
        <v>2.33E-12</v>
      </c>
      <c r="L594" s="41">
        <v>193</v>
      </c>
      <c r="M594" s="117"/>
      <c r="N594" s="116"/>
      <c r="O594" s="117"/>
      <c r="P594" s="118"/>
      <c r="Q594" s="117"/>
      <c r="S594" s="40">
        <f>IF(OR(H594="T",H594="C"),T594,IF(H594="F",(V594/(1+(V594/T594)))*Q594^(1/(1+((LOG10(V594/T594)/R594)^2))),IF(H594="S1",T594+V594,IF(H594="S2",T594+(V594/(1+(V594/T568))),""))))</f>
        <v>1.2245028614568094E-12</v>
      </c>
      <c r="T594" s="40">
        <f t="shared" si="34"/>
        <v>1.2245028614568094E-12</v>
      </c>
      <c r="U594" s="15">
        <f t="shared" si="35"/>
        <v>0.3835296</v>
      </c>
      <c r="V594" s="116"/>
      <c r="W594" s="116"/>
      <c r="X594" s="117"/>
      <c r="Y594" s="117"/>
    </row>
    <row r="595" spans="2:25" ht="76.5">
      <c r="B595" s="141" t="s">
        <v>593</v>
      </c>
      <c r="C595" s="14" t="s">
        <v>1642</v>
      </c>
      <c r="D595" s="100">
        <f t="shared" si="36"/>
        <v>5.584492231662424E-12</v>
      </c>
      <c r="E595" s="100">
        <f t="shared" si="37"/>
        <v>1.81E-12</v>
      </c>
      <c r="F595" s="101">
        <f t="shared" si="38"/>
        <v>-0.6716736000000001</v>
      </c>
      <c r="G595" s="101"/>
      <c r="H595" s="39" t="s">
        <v>1859</v>
      </c>
      <c r="K595" s="116">
        <v>1.81E-12</v>
      </c>
      <c r="L595" s="41">
        <v>-338</v>
      </c>
      <c r="M595" s="117"/>
      <c r="N595" s="116"/>
      <c r="O595" s="117"/>
      <c r="P595" s="118"/>
      <c r="Q595" s="117"/>
      <c r="S595" s="40">
        <f>IF(OR(H595="T",H595="C"),T595,IF(H595="F",(V595/(1+(V595/T595)))*Q595^(1/(1+((LOG10(V595/T595)/R595)^2))),IF(H595="S1",T595+V595,IF(H595="S2",T595+(V595/(1+(V595/T569))),""))))</f>
        <v>5.584492231662424E-12</v>
      </c>
      <c r="T595" s="40">
        <f t="shared" si="34"/>
        <v>5.584492231662424E-12</v>
      </c>
      <c r="U595" s="15">
        <f t="shared" si="35"/>
        <v>-0.6716736000000001</v>
      </c>
      <c r="V595" s="116"/>
      <c r="W595" s="116"/>
      <c r="X595" s="117"/>
      <c r="Y595" s="117"/>
    </row>
    <row r="596" spans="2:25" ht="76.5">
      <c r="B596" s="141" t="s">
        <v>594</v>
      </c>
      <c r="C596" s="14" t="s">
        <v>1643</v>
      </c>
      <c r="D596" s="100">
        <f t="shared" si="36"/>
        <v>2.31E-11</v>
      </c>
      <c r="E596" s="100">
        <f t="shared" si="37"/>
      </c>
      <c r="F596" s="101">
        <f t="shared" si="38"/>
      </c>
      <c r="G596" s="101"/>
      <c r="H596" s="39" t="s">
        <v>1851</v>
      </c>
      <c r="K596" s="116">
        <v>2.31E-11</v>
      </c>
      <c r="M596" s="117"/>
      <c r="N596" s="116"/>
      <c r="O596" s="117"/>
      <c r="P596" s="118"/>
      <c r="Q596" s="117"/>
      <c r="S596" s="40">
        <f>IF(OR(H596="T",H596="C"),T596,IF(H596="F",(V596/(1+(V596/T596)))*Q596^(1/(1+((LOG10(V596/T596)/R596)^2))),IF(H596="S1",T596+V596,IF(H596="S2",T596+(V596/(1+(V596/#REF!))),""))))</f>
        <v>2.31E-11</v>
      </c>
      <c r="T596" s="40">
        <f t="shared" si="34"/>
        <v>2.31E-11</v>
      </c>
      <c r="U596" s="15">
        <f t="shared" si="35"/>
        <v>0</v>
      </c>
      <c r="V596" s="116"/>
      <c r="W596" s="116"/>
      <c r="X596" s="117"/>
      <c r="Y596" s="117"/>
    </row>
    <row r="597" spans="2:25" ht="89.25">
      <c r="B597" s="141" t="s">
        <v>595</v>
      </c>
      <c r="C597" s="14" t="s">
        <v>1016</v>
      </c>
      <c r="D597" s="100">
        <f t="shared" si="36"/>
        <v>1.3599999999999999E-11</v>
      </c>
      <c r="E597" s="100">
        <f t="shared" si="37"/>
      </c>
      <c r="F597" s="101">
        <f t="shared" si="38"/>
      </c>
      <c r="G597" s="101"/>
      <c r="H597" s="39" t="s">
        <v>1851</v>
      </c>
      <c r="K597" s="116">
        <v>1.3599999999999999E-11</v>
      </c>
      <c r="M597" s="117"/>
      <c r="N597" s="116"/>
      <c r="O597" s="117"/>
      <c r="P597" s="118"/>
      <c r="Q597" s="117"/>
      <c r="S597" s="40">
        <f>IF(OR(H597="T",H597="C"),T597,IF(H597="F",(V597/(1+(V597/T597)))*Q597^(1/(1+((LOG10(V597/T597)/R597)^2))),IF(H597="S1",T597+V597,IF(H597="S2",T597+(V597/(1+(V597/T570))),""))))</f>
        <v>1.3599999999999999E-11</v>
      </c>
      <c r="T597" s="40">
        <f t="shared" si="34"/>
        <v>1.3599999999999999E-11</v>
      </c>
      <c r="U597" s="15">
        <f t="shared" si="35"/>
        <v>0</v>
      </c>
      <c r="V597" s="116"/>
      <c r="W597" s="116"/>
      <c r="X597" s="117"/>
      <c r="Y597" s="117"/>
    </row>
    <row r="598" spans="2:25" ht="89.25">
      <c r="B598" s="141" t="s">
        <v>596</v>
      </c>
      <c r="C598" s="14" t="s">
        <v>1017</v>
      </c>
      <c r="D598" s="100">
        <f t="shared" si="36"/>
        <v>1.43E-11</v>
      </c>
      <c r="E598" s="100">
        <f t="shared" si="37"/>
      </c>
      <c r="F598" s="101">
        <f t="shared" si="38"/>
      </c>
      <c r="G598" s="101"/>
      <c r="H598" s="39" t="s">
        <v>1851</v>
      </c>
      <c r="K598" s="116">
        <v>1.43E-11</v>
      </c>
      <c r="M598" s="117"/>
      <c r="N598" s="116"/>
      <c r="O598" s="117"/>
      <c r="P598" s="118"/>
      <c r="Q598" s="117"/>
      <c r="S598" s="40">
        <f>IF(OR(H598="T",H598="C"),T598,IF(H598="F",(V598/(1+(V598/T598)))*Q598^(1/(1+((LOG10(V598/T598)/R598)^2))),IF(H598="S1",T598+V598,IF(H598="S2",T598+(V598/(1+(V598/T571))),""))))</f>
        <v>1.43E-11</v>
      </c>
      <c r="T598" s="40">
        <f t="shared" si="34"/>
        <v>1.43E-11</v>
      </c>
      <c r="U598" s="15">
        <f t="shared" si="35"/>
        <v>0</v>
      </c>
      <c r="V598" s="116"/>
      <c r="W598" s="116"/>
      <c r="X598" s="117"/>
      <c r="Y598" s="117"/>
    </row>
    <row r="599" spans="2:25" ht="89.25">
      <c r="B599" s="141" t="s">
        <v>597</v>
      </c>
      <c r="C599" s="14" t="s">
        <v>1018</v>
      </c>
      <c r="D599" s="100">
        <f t="shared" si="36"/>
        <v>3.25E-11</v>
      </c>
      <c r="E599" s="100">
        <f t="shared" si="37"/>
      </c>
      <c r="F599" s="101">
        <f t="shared" si="38"/>
      </c>
      <c r="G599" s="101"/>
      <c r="H599" s="39" t="s">
        <v>1851</v>
      </c>
      <c r="K599" s="116">
        <v>3.25E-11</v>
      </c>
      <c r="M599" s="117"/>
      <c r="N599" s="116"/>
      <c r="O599" s="117"/>
      <c r="P599" s="118"/>
      <c r="Q599" s="117"/>
      <c r="S599" s="40">
        <f>IF(OR(H599="T",H599="C"),T599,IF(H599="F",(V599/(1+(V599/T599)))*Q599^(1/(1+((LOG10(V599/T599)/R599)^2))),IF(H599="S1",T599+V599,IF(H599="S2",T599+(V599/(1+(V599/T572))),""))))</f>
        <v>3.25E-11</v>
      </c>
      <c r="T599" s="40">
        <f t="shared" si="34"/>
        <v>3.25E-11</v>
      </c>
      <c r="U599" s="15">
        <f t="shared" si="35"/>
        <v>0</v>
      </c>
      <c r="V599" s="116"/>
      <c r="W599" s="116"/>
      <c r="X599" s="117"/>
      <c r="Y599" s="117"/>
    </row>
    <row r="600" spans="2:25" ht="38.25">
      <c r="B600" s="141" t="s">
        <v>598</v>
      </c>
      <c r="C600" s="14" t="s">
        <v>1019</v>
      </c>
      <c r="D600" s="100">
        <f>IF(OR(H600="T",H600="C"),S600,H600)</f>
        <v>3.2123727199713687E-12</v>
      </c>
      <c r="E600" s="100">
        <f>IF(H600="C","",K600)</f>
        <v>5.49E-13</v>
      </c>
      <c r="F600" s="101">
        <f>IF(H600="C","",U600)</f>
        <v>-1.0532160000000002</v>
      </c>
      <c r="G600" s="101"/>
      <c r="H600" s="39" t="s">
        <v>1859</v>
      </c>
      <c r="K600" s="116">
        <v>5.49E-13</v>
      </c>
      <c r="L600" s="41">
        <v>-530</v>
      </c>
      <c r="M600" s="117">
        <v>2</v>
      </c>
      <c r="N600" s="116"/>
      <c r="O600" s="117"/>
      <c r="P600" s="118"/>
      <c r="Q600" s="117"/>
      <c r="S600" s="40">
        <f>IF(OR(H600="T",H600="C"),T600,IF(H600="F",(V600/(1+(V600/T600)))*Q600^(1/(1+((LOG10(V600/T600)/R600)^2))),IF(H600="S1",T600+V600,IF(H600="S2",T600+(V600/(1+(V600/T573))),""))))</f>
        <v>3.2123727199713687E-12</v>
      </c>
      <c r="T600" s="40">
        <f t="shared" si="34"/>
        <v>3.2123727199713687E-12</v>
      </c>
      <c r="U600" s="15">
        <f t="shared" si="35"/>
        <v>-1.0532160000000002</v>
      </c>
      <c r="V600" s="116"/>
      <c r="W600" s="116"/>
      <c r="X600" s="117"/>
      <c r="Y600" s="117"/>
    </row>
    <row r="601" spans="1:25" ht="15">
      <c r="A601" s="13" t="s">
        <v>1059</v>
      </c>
      <c r="D601" s="100"/>
      <c r="E601" s="100"/>
      <c r="F601" s="101"/>
      <c r="G601" s="101"/>
      <c r="K601" s="116"/>
      <c r="M601" s="117"/>
      <c r="N601" s="116"/>
      <c r="O601" s="117"/>
      <c r="P601" s="118"/>
      <c r="Q601" s="117"/>
      <c r="S601" s="40"/>
      <c r="T601" s="40"/>
      <c r="U601" s="117"/>
      <c r="V601" s="116"/>
      <c r="W601" s="116"/>
      <c r="X601" s="117"/>
      <c r="Y601" s="117"/>
    </row>
    <row r="602" spans="2:25" ht="25.5">
      <c r="B602" s="49" t="s">
        <v>1364</v>
      </c>
      <c r="C602" s="14" t="s">
        <v>1365</v>
      </c>
      <c r="D602" s="100">
        <f aca="true" t="shared" si="39" ref="D602:D620">IF(OR(H602="T",H602="C"),S602,H602)</f>
        <v>2.53938359799213E-13</v>
      </c>
      <c r="E602" s="100">
        <f aca="true" t="shared" si="40" ref="E602:E620">IF(H602="C","",K602)</f>
        <v>1.339999999999998E-12</v>
      </c>
      <c r="F602" s="101">
        <f aca="true" t="shared" si="41" ref="F602:F620">IF(H602="C","",U602)</f>
        <v>0.9916128000000001</v>
      </c>
      <c r="G602" s="108"/>
      <c r="H602" s="39" t="s">
        <v>1859</v>
      </c>
      <c r="J602" s="42"/>
      <c r="K602" s="132">
        <v>1.339999999999998E-12</v>
      </c>
      <c r="L602" s="133">
        <v>499</v>
      </c>
      <c r="M602" s="134">
        <v>2</v>
      </c>
      <c r="N602" s="132"/>
      <c r="O602" s="134"/>
      <c r="P602" s="135"/>
      <c r="Q602" s="134"/>
      <c r="R602" s="43"/>
      <c r="S602" s="40">
        <f>IF(OR(H602="T",H602="C"),T602,IF(H602="F",(V602/(1+(V602/T602)))*Q602^(1/(1+((LOG10(V602/T602)/R602)^2))),IF(H602="S1",T602+V602,IF(H602="S2",T602+(V602/(1+(V602/T733))),""))))</f>
        <v>2.53938359799213E-13</v>
      </c>
      <c r="T602" s="40">
        <f aca="true" t="shared" si="42" ref="T602:T620">K602*EXP(-L602/T$4)*((T$4/300)^M602)</f>
        <v>2.53938359799213E-13</v>
      </c>
      <c r="U602" s="15">
        <f aca="true" t="shared" si="43" ref="U602:U620">L602*Rfac</f>
        <v>0.9916128000000001</v>
      </c>
      <c r="V602" s="132"/>
      <c r="W602" s="132"/>
      <c r="X602" s="134"/>
      <c r="Y602" s="134"/>
    </row>
    <row r="603" spans="2:25" ht="38.25">
      <c r="B603" s="49" t="s">
        <v>1366</v>
      </c>
      <c r="C603" s="14" t="s">
        <v>1367</v>
      </c>
      <c r="D603" s="100">
        <f t="shared" si="39"/>
        <v>1.11491271569206E-12</v>
      </c>
      <c r="E603" s="100">
        <f t="shared" si="40"/>
        <v>1.489999999999997E-12</v>
      </c>
      <c r="F603" s="101">
        <f t="shared" si="41"/>
        <v>0.17288640000000002</v>
      </c>
      <c r="G603" s="108"/>
      <c r="H603" s="39" t="s">
        <v>1859</v>
      </c>
      <c r="J603" s="42"/>
      <c r="K603" s="132">
        <v>1.489999999999997E-12</v>
      </c>
      <c r="L603" s="133">
        <v>87</v>
      </c>
      <c r="M603" s="134">
        <v>2</v>
      </c>
      <c r="N603" s="132"/>
      <c r="O603" s="134"/>
      <c r="P603" s="135"/>
      <c r="Q603" s="134"/>
      <c r="R603" s="43"/>
      <c r="S603" s="40">
        <f>IF(OR(H603="T",H603="C"),T603,IF(H603="F",(V603/(1+(V603/T603)))*Q603^(1/(1+((LOG10(V603/T603)/R603)^2))),IF(H603="S1",T603+V603,IF(H603="S2",T603+(V603/(1+(V603/T732))),""))))</f>
        <v>1.11491271569206E-12</v>
      </c>
      <c r="T603" s="40">
        <f t="shared" si="42"/>
        <v>1.11491271569206E-12</v>
      </c>
      <c r="U603" s="15">
        <f t="shared" si="43"/>
        <v>0.17288640000000002</v>
      </c>
      <c r="V603" s="132"/>
      <c r="W603" s="132"/>
      <c r="X603" s="134"/>
      <c r="Y603" s="134"/>
    </row>
    <row r="604" spans="2:25" ht="63.75">
      <c r="B604" s="49" t="s">
        <v>1368</v>
      </c>
      <c r="C604" s="14" t="s">
        <v>1369</v>
      </c>
      <c r="D604" s="100">
        <f t="shared" si="39"/>
        <v>2.307658883679944E-12</v>
      </c>
      <c r="E604" s="100">
        <f t="shared" si="40"/>
        <v>1.5138605778005317E-12</v>
      </c>
      <c r="F604" s="101">
        <f t="shared" si="41"/>
        <v>-0.251323456296359</v>
      </c>
      <c r="G604" s="108"/>
      <c r="H604" s="39" t="s">
        <v>1859</v>
      </c>
      <c r="J604" s="42"/>
      <c r="K604" s="132">
        <v>1.5138605778005317E-12</v>
      </c>
      <c r="L604" s="133">
        <v>-126.47114346636421</v>
      </c>
      <c r="M604" s="134"/>
      <c r="N604" s="132"/>
      <c r="O604" s="134"/>
      <c r="P604" s="135"/>
      <c r="Q604" s="134"/>
      <c r="R604" s="43"/>
      <c r="S604" s="40">
        <f>IF(OR(H604="T",H604="C"),T604,IF(H604="F",(V604/(1+(V604/T604)))*Q604^(1/(1+((LOG10(V604/T604)/R604)^2))),IF(H604="S1",T604+V604,IF(H604="S2",T604+(V604/(1+(V604/T734))),""))))</f>
        <v>2.307658883679944E-12</v>
      </c>
      <c r="T604" s="40">
        <f t="shared" si="42"/>
        <v>2.307658883679944E-12</v>
      </c>
      <c r="U604" s="15">
        <f t="shared" si="43"/>
        <v>-0.251323456296359</v>
      </c>
      <c r="V604" s="132"/>
      <c r="W604" s="132"/>
      <c r="X604" s="134"/>
      <c r="Y604" s="134"/>
    </row>
    <row r="605" spans="2:25" ht="76.5">
      <c r="B605" s="49" t="s">
        <v>1370</v>
      </c>
      <c r="C605" s="14" t="s">
        <v>1371</v>
      </c>
      <c r="D605" s="100">
        <f t="shared" si="39"/>
        <v>4.3434329500880575E-12</v>
      </c>
      <c r="E605" s="100">
        <f t="shared" si="40"/>
        <v>3.7482611655299665E-12</v>
      </c>
      <c r="F605" s="101">
        <f t="shared" si="41"/>
        <v>-0.08785788440472896</v>
      </c>
      <c r="G605" s="108"/>
      <c r="H605" s="39" t="s">
        <v>1859</v>
      </c>
      <c r="J605" s="42"/>
      <c r="K605" s="132">
        <v>3.7482611655299665E-12</v>
      </c>
      <c r="L605" s="133">
        <v>-44.211898351816096</v>
      </c>
      <c r="M605" s="134"/>
      <c r="N605" s="132"/>
      <c r="O605" s="134"/>
      <c r="P605" s="135"/>
      <c r="Q605" s="134"/>
      <c r="R605" s="43"/>
      <c r="S605" s="40">
        <f>IF(OR(H605="T",H605="C"),T605,IF(H605="F",(V605/(1+(V605/T605)))*Q605^(1/(1+((LOG10(V605/T605)/R605)^2))),IF(H605="S1",T605+V605,IF(H605="S2",T605+(V605/(1+(V605/T735))),""))))</f>
        <v>4.3434329500880575E-12</v>
      </c>
      <c r="T605" s="40">
        <f t="shared" si="42"/>
        <v>4.3434329500880575E-12</v>
      </c>
      <c r="U605" s="15">
        <f t="shared" si="43"/>
        <v>-0.08785788440472896</v>
      </c>
      <c r="V605" s="132"/>
      <c r="W605" s="132"/>
      <c r="X605" s="134"/>
      <c r="Y605" s="134"/>
    </row>
    <row r="606" spans="2:25" ht="63.75">
      <c r="B606" s="49" t="s">
        <v>1372</v>
      </c>
      <c r="C606" s="14" t="s">
        <v>1373</v>
      </c>
      <c r="D606" s="100">
        <f t="shared" si="39"/>
        <v>9.398304120131219E-12</v>
      </c>
      <c r="E606" s="100">
        <f t="shared" si="40"/>
        <v>2.699849219751097E-12</v>
      </c>
      <c r="F606" s="101">
        <f t="shared" si="41"/>
        <v>-0.7436102400000001</v>
      </c>
      <c r="G606" s="108"/>
      <c r="H606" s="39" t="s">
        <v>1859</v>
      </c>
      <c r="J606" s="42"/>
      <c r="K606" s="132">
        <v>2.699849219751097E-12</v>
      </c>
      <c r="L606" s="133">
        <v>-374.2</v>
      </c>
      <c r="M606" s="134"/>
      <c r="N606" s="132"/>
      <c r="O606" s="134"/>
      <c r="P606" s="135"/>
      <c r="Q606" s="134"/>
      <c r="R606" s="43"/>
      <c r="S606" s="40">
        <f>IF(OR(H606="T",H606="C"),T606,IF(H606="F",(V606/(1+(V606/T606)))*Q606^(1/(1+((LOG10(V606/T606)/R606)^2))),IF(H606="S1",T606+V606,IF(H606="S2",T606+(V606/(1+(V606/T736))),""))))</f>
        <v>9.398304120131219E-12</v>
      </c>
      <c r="T606" s="40">
        <f t="shared" si="42"/>
        <v>9.398304120131219E-12</v>
      </c>
      <c r="U606" s="15">
        <f t="shared" si="43"/>
        <v>-0.7436102400000001</v>
      </c>
      <c r="V606" s="132"/>
      <c r="W606" s="132"/>
      <c r="X606" s="134"/>
      <c r="Y606" s="134"/>
    </row>
    <row r="607" spans="2:25" ht="89.25">
      <c r="B607" s="49" t="s">
        <v>1374</v>
      </c>
      <c r="C607" s="14" t="s">
        <v>1027</v>
      </c>
      <c r="D607" s="100">
        <f t="shared" si="39"/>
        <v>3.574269130079772E-11</v>
      </c>
      <c r="E607" s="100">
        <f t="shared" si="40"/>
        <v>6.720984844175681E-12</v>
      </c>
      <c r="F607" s="101">
        <f t="shared" si="41"/>
        <v>-0.9962496</v>
      </c>
      <c r="G607" s="108"/>
      <c r="H607" s="39" t="s">
        <v>1859</v>
      </c>
      <c r="K607" s="116">
        <v>6.720984844175681E-12</v>
      </c>
      <c r="L607" s="120">
        <v>-501.33333333333326</v>
      </c>
      <c r="M607" s="117"/>
      <c r="N607" s="116"/>
      <c r="O607" s="117"/>
      <c r="P607" s="118"/>
      <c r="Q607" s="117"/>
      <c r="S607" s="40">
        <f>IF(OR(H607="T",H607="C"),T607,IF(H607="F",(V607/(1+(V607/T607)))*Q607^(1/(1+((LOG10(V607/T607)/R607)^2))),IF(H607="S1",T607+V607,IF(H607="S2",T607+(V607/(1+(V607/T608))),""))))</f>
        <v>3.574269130079772E-11</v>
      </c>
      <c r="T607" s="40">
        <f t="shared" si="42"/>
        <v>3.574269130079772E-11</v>
      </c>
      <c r="U607" s="15">
        <f t="shared" si="43"/>
        <v>-0.9962496</v>
      </c>
      <c r="V607" s="116"/>
      <c r="W607" s="116"/>
      <c r="X607" s="117"/>
      <c r="Y607" s="117"/>
    </row>
    <row r="608" spans="2:25" ht="89.25">
      <c r="B608" s="49" t="s">
        <v>1375</v>
      </c>
      <c r="C608" s="14" t="s">
        <v>1028</v>
      </c>
      <c r="D608" s="100">
        <f t="shared" si="39"/>
        <v>1.1025330565822604E-17</v>
      </c>
      <c r="E608" s="100">
        <f t="shared" si="40"/>
        <v>3.1937319560851716E-15</v>
      </c>
      <c r="F608" s="101">
        <f t="shared" si="41"/>
        <v>3.3794820000000003</v>
      </c>
      <c r="G608" s="108"/>
      <c r="H608" s="39" t="s">
        <v>1859</v>
      </c>
      <c r="K608" s="116">
        <v>3.1937319560851716E-15</v>
      </c>
      <c r="L608" s="120">
        <v>1700.625</v>
      </c>
      <c r="M608" s="117"/>
      <c r="N608" s="116"/>
      <c r="O608" s="117"/>
      <c r="P608" s="118"/>
      <c r="Q608" s="117"/>
      <c r="S608" s="40">
        <f>IF(OR(H608="T",H608="C"),T608,IF(H608="F",(V608/(1+(V608/T608)))*Q608^(1/(1+((LOG10(V608/T608)/R608)^2))),IF(H608="S1",T608+V608,IF(H608="S2",T608+(V608/(1+(V608/T609))),""))))</f>
        <v>1.1025330565822604E-17</v>
      </c>
      <c r="T608" s="40">
        <f t="shared" si="42"/>
        <v>1.1025330565822604E-17</v>
      </c>
      <c r="U608" s="15">
        <f t="shared" si="43"/>
        <v>3.3794820000000003</v>
      </c>
      <c r="V608" s="116"/>
      <c r="W608" s="116"/>
      <c r="X608" s="117"/>
      <c r="Y608" s="117"/>
    </row>
    <row r="609" spans="2:25" ht="63.75">
      <c r="B609" s="49" t="s">
        <v>1376</v>
      </c>
      <c r="C609" s="14" t="s">
        <v>1029</v>
      </c>
      <c r="D609" s="100">
        <f t="shared" si="39"/>
        <v>1.6383704828527877E-14</v>
      </c>
      <c r="E609" s="100">
        <f t="shared" si="40"/>
        <v>5.371552897424539E-13</v>
      </c>
      <c r="F609" s="101">
        <f t="shared" si="41"/>
        <v>2.0805984</v>
      </c>
      <c r="G609" s="108"/>
      <c r="H609" s="39" t="s">
        <v>1859</v>
      </c>
      <c r="K609" s="116">
        <v>5.371552897424539E-13</v>
      </c>
      <c r="L609" s="120">
        <v>1047</v>
      </c>
      <c r="M609" s="117"/>
      <c r="N609" s="116"/>
      <c r="O609" s="117"/>
      <c r="P609" s="118"/>
      <c r="Q609" s="117"/>
      <c r="S609" s="40">
        <f>IF(OR(H609="T",H609="C"),T609,IF(H609="F",(V609/(1+(V609/T609)))*Q609^(1/(1+((LOG10(V609/T609)/R609)^2))),IF(H609="S1",T609+V609,IF(H609="S2",T609+(V609/(1+(V609/T610))),""))))</f>
        <v>1.6383704828527877E-14</v>
      </c>
      <c r="T609" s="40">
        <f t="shared" si="42"/>
        <v>1.6383704828527877E-14</v>
      </c>
      <c r="U609" s="15">
        <f t="shared" si="43"/>
        <v>2.0805984</v>
      </c>
      <c r="V609" s="116"/>
      <c r="W609" s="116"/>
      <c r="X609" s="117"/>
      <c r="Y609" s="117"/>
    </row>
    <row r="610" spans="2:25" ht="25.5">
      <c r="B610" s="49" t="s">
        <v>1377</v>
      </c>
      <c r="C610" s="14" t="s">
        <v>1030</v>
      </c>
      <c r="D610" s="100">
        <f t="shared" si="39"/>
        <v>5.440918247869491E-12</v>
      </c>
      <c r="E610" s="100">
        <f t="shared" si="40"/>
        <v>1.6128929273189247E-11</v>
      </c>
      <c r="F610" s="101">
        <f t="shared" si="41"/>
        <v>0.6478272</v>
      </c>
      <c r="G610" s="108"/>
      <c r="H610" s="39" t="s">
        <v>1859</v>
      </c>
      <c r="K610" s="116">
        <v>1.6128929273189247E-11</v>
      </c>
      <c r="L610" s="120">
        <v>326</v>
      </c>
      <c r="M610" s="117"/>
      <c r="N610" s="116"/>
      <c r="O610" s="117"/>
      <c r="P610" s="118"/>
      <c r="Q610" s="117"/>
      <c r="S610" s="40">
        <f>IF(OR(H610="T",H610="C"),T610,IF(H610="F",(V610/(1+(V610/T610)))*Q610^(1/(1+((LOG10(V610/T610)/R610)^2))),IF(H610="S1",T610+V610,IF(H610="S2",T610+(V610/(1+(V610/T737))),""))))</f>
        <v>5.440918247869491E-12</v>
      </c>
      <c r="T610" s="40">
        <f t="shared" si="42"/>
        <v>5.440918247869491E-12</v>
      </c>
      <c r="U610" s="15">
        <f t="shared" si="43"/>
        <v>0.6478272</v>
      </c>
      <c r="V610" s="116"/>
      <c r="W610" s="116"/>
      <c r="X610" s="117"/>
      <c r="Y610" s="117"/>
    </row>
    <row r="611" spans="2:25" ht="76.5">
      <c r="B611" s="49" t="s">
        <v>1378</v>
      </c>
      <c r="C611" s="14" t="s">
        <v>1031</v>
      </c>
      <c r="D611" s="100">
        <f t="shared" si="39"/>
        <v>6.407355649409313E-11</v>
      </c>
      <c r="E611" s="100">
        <f t="shared" si="40"/>
        <v>1.2604220820510295E-11</v>
      </c>
      <c r="F611" s="101">
        <f t="shared" si="41"/>
        <v>-0.9693561600000001</v>
      </c>
      <c r="G611" s="108"/>
      <c r="H611" s="39" t="s">
        <v>1859</v>
      </c>
      <c r="K611" s="116">
        <v>1.2604220820510295E-11</v>
      </c>
      <c r="L611" s="120">
        <v>-487.8</v>
      </c>
      <c r="M611" s="117"/>
      <c r="N611" s="116"/>
      <c r="O611" s="117"/>
      <c r="P611" s="118"/>
      <c r="Q611" s="117"/>
      <c r="S611" s="40">
        <f>IF(OR(H611="T",H611="C"),T611,IF(H611="F",(V611/(1+(V611/T611)))*Q611^(1/(1+((LOG10(V611/T611)/R611)^2))),IF(H611="S1",T611+V611,IF(H611="S2",T611+(V611/(1+(V611/T612))),""))))</f>
        <v>6.407355649409313E-11</v>
      </c>
      <c r="T611" s="40">
        <f t="shared" si="42"/>
        <v>6.407355649409313E-11</v>
      </c>
      <c r="U611" s="15">
        <f t="shared" si="43"/>
        <v>-0.9693561600000001</v>
      </c>
      <c r="V611" s="116"/>
      <c r="W611" s="116"/>
      <c r="X611" s="117"/>
      <c r="Y611" s="117"/>
    </row>
    <row r="612" spans="2:25" ht="127.5">
      <c r="B612" s="49" t="s">
        <v>1379</v>
      </c>
      <c r="C612" s="14" t="s">
        <v>1032</v>
      </c>
      <c r="D612" s="100">
        <f t="shared" si="39"/>
        <v>1.3096258661832837E-16</v>
      </c>
      <c r="E612" s="100">
        <f t="shared" si="40"/>
        <v>8.591449944358141E-15</v>
      </c>
      <c r="F612" s="101">
        <f t="shared" si="41"/>
        <v>2.4941016</v>
      </c>
      <c r="G612" s="108"/>
      <c r="H612" s="39" t="s">
        <v>1859</v>
      </c>
      <c r="K612" s="116">
        <v>8.591449944358141E-15</v>
      </c>
      <c r="L612" s="120">
        <v>1255.0833333333333</v>
      </c>
      <c r="M612" s="117"/>
      <c r="N612" s="116"/>
      <c r="O612" s="117"/>
      <c r="P612" s="118"/>
      <c r="Q612" s="117"/>
      <c r="S612" s="40">
        <f>IF(OR(H612="T",H612="C"),T612,IF(H612="F",(V612/(1+(V612/T612)))*Q612^(1/(1+((LOG10(V612/T612)/R612)^2))),IF(H612="S1",T612+V612,IF(H612="S2",T612+(V612/(1+(V612/T613))),""))))</f>
        <v>1.3096258661832837E-16</v>
      </c>
      <c r="T612" s="40">
        <f t="shared" si="42"/>
        <v>1.3096258661832837E-16</v>
      </c>
      <c r="U612" s="15">
        <f t="shared" si="43"/>
        <v>2.4941016</v>
      </c>
      <c r="V612" s="116"/>
      <c r="W612" s="116"/>
      <c r="X612" s="117"/>
      <c r="Y612" s="117"/>
    </row>
    <row r="613" spans="2:25" ht="76.5">
      <c r="B613" s="49" t="s">
        <v>1380</v>
      </c>
      <c r="C613" s="14" t="s">
        <v>1033</v>
      </c>
      <c r="D613" s="100">
        <f t="shared" si="39"/>
        <v>8.259189815423364E-13</v>
      </c>
      <c r="E613" s="100">
        <f t="shared" si="40"/>
        <v>2.3117230696874577E-13</v>
      </c>
      <c r="F613" s="101">
        <f t="shared" si="41"/>
        <v>-0.7591104000000001</v>
      </c>
      <c r="G613" s="108"/>
      <c r="H613" s="39" t="s">
        <v>1859</v>
      </c>
      <c r="K613" s="116">
        <v>2.3117230696874577E-13</v>
      </c>
      <c r="L613" s="120">
        <v>-382</v>
      </c>
      <c r="M613" s="117"/>
      <c r="N613" s="116"/>
      <c r="O613" s="117"/>
      <c r="P613" s="118"/>
      <c r="Q613" s="117"/>
      <c r="S613" s="40">
        <f>IF(OR(H613="T",H613="C"),T613,IF(H613="F",(V613/(1+(V613/T613)))*Q613^(1/(1+((LOG10(V613/T613)/R613)^2))),IF(H613="S1",T613+V613,IF(H613="S2",T613+(V613/(1+(V613/T614))),""))))</f>
        <v>8.259189815423364E-13</v>
      </c>
      <c r="T613" s="40">
        <f t="shared" si="42"/>
        <v>8.259189815423364E-13</v>
      </c>
      <c r="U613" s="15">
        <f t="shared" si="43"/>
        <v>-0.7591104000000001</v>
      </c>
      <c r="V613" s="116"/>
      <c r="W613" s="116"/>
      <c r="X613" s="117"/>
      <c r="Y613" s="117"/>
    </row>
    <row r="614" spans="2:25" ht="25.5">
      <c r="B614" s="49" t="s">
        <v>1381</v>
      </c>
      <c r="C614" s="14" t="s">
        <v>1034</v>
      </c>
      <c r="D614" s="100">
        <f t="shared" si="39"/>
        <v>2.0710671022437922E-11</v>
      </c>
      <c r="E614" s="100">
        <f t="shared" si="40"/>
        <v>1.4311533382495409E-11</v>
      </c>
      <c r="F614" s="101">
        <f t="shared" si="41"/>
        <v>-0.22033080000000002</v>
      </c>
      <c r="G614" s="108"/>
      <c r="H614" s="39" t="s">
        <v>1859</v>
      </c>
      <c r="K614" s="116">
        <v>1.4311533382495409E-11</v>
      </c>
      <c r="L614" s="120">
        <v>-110.875</v>
      </c>
      <c r="M614" s="117"/>
      <c r="N614" s="116"/>
      <c r="O614" s="117"/>
      <c r="P614" s="118"/>
      <c r="Q614" s="117"/>
      <c r="S614" s="40">
        <f>IF(OR(H614="T",H614="C"),T614,IF(H614="F",(V614/(1+(V614/T614)))*Q614^(1/(1+((LOG10(V614/T614)/R614)^2))),IF(H614="S1",T614+V614,IF(H614="S2",T614+(V614/(1+(V614/T738))),""))))</f>
        <v>2.0710671022437922E-11</v>
      </c>
      <c r="T614" s="40">
        <f t="shared" si="42"/>
        <v>2.0710671022437922E-11</v>
      </c>
      <c r="U614" s="15">
        <f t="shared" si="43"/>
        <v>-0.22033080000000002</v>
      </c>
      <c r="V614" s="116"/>
      <c r="W614" s="116"/>
      <c r="X614" s="117"/>
      <c r="Y614" s="117"/>
    </row>
    <row r="615" spans="2:25" ht="76.5">
      <c r="B615" s="49" t="s">
        <v>1382</v>
      </c>
      <c r="C615" s="14" t="s">
        <v>1035</v>
      </c>
      <c r="D615" s="100">
        <f t="shared" si="39"/>
        <v>7.837601953512872E-12</v>
      </c>
      <c r="E615" s="100">
        <f t="shared" si="40"/>
      </c>
      <c r="F615" s="101">
        <f t="shared" si="41"/>
      </c>
      <c r="G615" s="108"/>
      <c r="H615" s="39" t="s">
        <v>1851</v>
      </c>
      <c r="J615" s="42"/>
      <c r="K615" s="132">
        <v>7.837601953512872E-12</v>
      </c>
      <c r="L615" s="133"/>
      <c r="M615" s="134"/>
      <c r="N615" s="132"/>
      <c r="O615" s="134"/>
      <c r="P615" s="135"/>
      <c r="Q615" s="134"/>
      <c r="R615" s="43"/>
      <c r="S615" s="40">
        <f>IF(OR(H615="T",H615="C"),T615,IF(H615="F",(V615/(1+(V615/T615)))*Q615^(1/(1+((LOG10(V615/T615)/R615)^2))),IF(H615="S1",T615+V615,IF(H615="S2",T615+(V615/(1+(V615/T739))),""))))</f>
        <v>7.837601953512872E-12</v>
      </c>
      <c r="T615" s="40">
        <f t="shared" si="42"/>
        <v>7.837601953512872E-12</v>
      </c>
      <c r="U615" s="15">
        <f t="shared" si="43"/>
        <v>0</v>
      </c>
      <c r="V615" s="132"/>
      <c r="W615" s="132"/>
      <c r="X615" s="134"/>
      <c r="Y615" s="134"/>
    </row>
    <row r="616" spans="2:25" ht="89.25">
      <c r="B616" s="49" t="s">
        <v>1383</v>
      </c>
      <c r="C616" s="14" t="s">
        <v>1036</v>
      </c>
      <c r="D616" s="100">
        <f t="shared" si="39"/>
        <v>3.0851887557561194E-11</v>
      </c>
      <c r="E616" s="100">
        <f t="shared" si="40"/>
      </c>
      <c r="F616" s="101">
        <f t="shared" si="41"/>
      </c>
      <c r="G616" s="108"/>
      <c r="H616" s="39" t="s">
        <v>1851</v>
      </c>
      <c r="J616" s="42"/>
      <c r="K616" s="132">
        <v>3.0851887557561194E-11</v>
      </c>
      <c r="L616" s="133"/>
      <c r="M616" s="134"/>
      <c r="N616" s="132"/>
      <c r="O616" s="134"/>
      <c r="P616" s="135"/>
      <c r="Q616" s="134"/>
      <c r="R616" s="43"/>
      <c r="S616" s="40">
        <f>IF(OR(H616="T",H616="C"),T616,IF(H616="F",(V616/(1+(V616/T616)))*Q616^(1/(1+((LOG10(V616/T616)/R616)^2))),IF(H616="S1",T616+V616,IF(H616="S2",T616+(V616/(1+(V616/T740))),""))))</f>
        <v>3.0851887557561194E-11</v>
      </c>
      <c r="T616" s="40">
        <f t="shared" si="42"/>
        <v>3.0851887557561194E-11</v>
      </c>
      <c r="U616" s="15">
        <f t="shared" si="43"/>
        <v>0</v>
      </c>
      <c r="V616" s="132"/>
      <c r="W616" s="132"/>
      <c r="X616" s="134"/>
      <c r="Y616" s="134"/>
    </row>
    <row r="617" spans="2:25" ht="89.25">
      <c r="B617" s="49" t="s">
        <v>1384</v>
      </c>
      <c r="C617" s="14" t="s">
        <v>1037</v>
      </c>
      <c r="D617" s="100">
        <f t="shared" si="39"/>
        <v>9.67198434622334E-11</v>
      </c>
      <c r="E617" s="100">
        <f t="shared" si="40"/>
        <v>2.2712824001365252E-11</v>
      </c>
      <c r="F617" s="101">
        <f t="shared" si="41"/>
        <v>-0.8637695999999999</v>
      </c>
      <c r="G617" s="108"/>
      <c r="H617" s="39" t="s">
        <v>1859</v>
      </c>
      <c r="J617" s="42"/>
      <c r="K617" s="132">
        <v>2.2712824001365252E-11</v>
      </c>
      <c r="L617" s="133">
        <v>-434.6666666666666</v>
      </c>
      <c r="M617" s="134"/>
      <c r="N617" s="132"/>
      <c r="O617" s="134"/>
      <c r="P617" s="135"/>
      <c r="Q617" s="134"/>
      <c r="R617" s="43"/>
      <c r="S617" s="40">
        <f>IF(OR(H617="T",H617="C"),T617,IF(H617="F",(V617/(1+(V617/T617)))*Q617^(1/(1+((LOG10(V617/T617)/R617)^2))),IF(H617="S1",T617+V617,IF(H617="S2",T617+(V617/(1+(V617/#REF!))),""))))</f>
        <v>9.67198434622334E-11</v>
      </c>
      <c r="T617" s="40">
        <f t="shared" si="42"/>
        <v>9.67198434622334E-11</v>
      </c>
      <c r="U617" s="15">
        <f t="shared" si="43"/>
        <v>-0.8637695999999999</v>
      </c>
      <c r="V617" s="132"/>
      <c r="W617" s="132"/>
      <c r="X617" s="134"/>
      <c r="Y617" s="134"/>
    </row>
    <row r="618" spans="2:25" ht="114.75">
      <c r="B618" s="49" t="s">
        <v>1385</v>
      </c>
      <c r="C618" s="14" t="s">
        <v>1038</v>
      </c>
      <c r="D618" s="100">
        <f t="shared" si="39"/>
        <v>6.052041501220917E-17</v>
      </c>
      <c r="E618" s="100">
        <f t="shared" si="40"/>
        <v>8.279731665697412E-16</v>
      </c>
      <c r="F618" s="101">
        <f t="shared" si="41"/>
        <v>1.55955456</v>
      </c>
      <c r="G618" s="108"/>
      <c r="H618" s="39" t="s">
        <v>1859</v>
      </c>
      <c r="J618" s="42"/>
      <c r="K618" s="132">
        <v>8.279731665697412E-16</v>
      </c>
      <c r="L618" s="133">
        <v>784.8</v>
      </c>
      <c r="M618" s="134"/>
      <c r="N618" s="132"/>
      <c r="O618" s="134"/>
      <c r="P618" s="135"/>
      <c r="Q618" s="134"/>
      <c r="R618" s="43"/>
      <c r="S618" s="40">
        <f>IF(OR(H618="T",H618="C"),T618,IF(H618="F",(V618/(1+(V618/T618)))*Q618^(1/(1+((LOG10(V618/T618)/R618)^2))),IF(H618="S1",T618+V618,IF(H618="S2",T618+(V618/(1+(V618/#REF!))),""))))</f>
        <v>6.052041501220917E-17</v>
      </c>
      <c r="T618" s="40">
        <f t="shared" si="42"/>
        <v>6.052041501220917E-17</v>
      </c>
      <c r="U618" s="15">
        <f t="shared" si="43"/>
        <v>1.55955456</v>
      </c>
      <c r="V618" s="132"/>
      <c r="W618" s="132"/>
      <c r="X618" s="134"/>
      <c r="Y618" s="134"/>
    </row>
    <row r="619" spans="2:25" ht="89.25">
      <c r="B619" s="49" t="s">
        <v>1386</v>
      </c>
      <c r="C619" s="14" t="s">
        <v>1039</v>
      </c>
      <c r="D619" s="100">
        <f t="shared" si="39"/>
        <v>6.7987397440631975E-12</v>
      </c>
      <c r="E619" s="100">
        <f t="shared" si="40"/>
        <v>1.327641327574775E-12</v>
      </c>
      <c r="F619" s="101">
        <f t="shared" si="41"/>
        <v>-0.973728</v>
      </c>
      <c r="G619" s="108"/>
      <c r="H619" s="39" t="s">
        <v>1859</v>
      </c>
      <c r="J619" s="42"/>
      <c r="K619" s="132">
        <v>1.327641327574775E-12</v>
      </c>
      <c r="L619" s="133">
        <v>-490</v>
      </c>
      <c r="M619" s="134"/>
      <c r="N619" s="132"/>
      <c r="O619" s="134"/>
      <c r="P619" s="135"/>
      <c r="Q619" s="134"/>
      <c r="R619" s="43"/>
      <c r="S619" s="40">
        <f>IF(OR(H619="T",H619="C"),T619,IF(H619="F",(V619/(1+(V619/T619)))*Q619^(1/(1+((LOG10(V619/T619)/R619)^2))),IF(H619="S1",T619+V619,IF(H619="S2",T619+(V619/(1+(V619/#REF!))),""))))</f>
        <v>6.7987397440631975E-12</v>
      </c>
      <c r="T619" s="40">
        <f t="shared" si="42"/>
        <v>6.7987397440631975E-12</v>
      </c>
      <c r="U619" s="15">
        <f t="shared" si="43"/>
        <v>-0.973728</v>
      </c>
      <c r="V619" s="132"/>
      <c r="W619" s="132"/>
      <c r="X619" s="134"/>
      <c r="Y619" s="134"/>
    </row>
    <row r="620" spans="2:25" ht="25.5">
      <c r="B620" s="49" t="s">
        <v>1387</v>
      </c>
      <c r="C620" s="14" t="s">
        <v>1040</v>
      </c>
      <c r="D620" s="100">
        <f t="shared" si="39"/>
        <v>4.020697114689873E-11</v>
      </c>
      <c r="E620" s="100">
        <f t="shared" si="40"/>
      </c>
      <c r="F620" s="101">
        <f t="shared" si="41"/>
      </c>
      <c r="G620" s="108"/>
      <c r="H620" s="39" t="s">
        <v>1851</v>
      </c>
      <c r="J620" s="42"/>
      <c r="K620" s="132">
        <v>4.020697114689873E-11</v>
      </c>
      <c r="L620" s="133">
        <v>0</v>
      </c>
      <c r="M620" s="134"/>
      <c r="N620" s="132"/>
      <c r="O620" s="134"/>
      <c r="P620" s="135"/>
      <c r="Q620" s="134"/>
      <c r="R620" s="43"/>
      <c r="S620" s="40">
        <f>IF(OR(H620="T",H620="C"),T620,IF(H620="F",(V620/(1+(V620/T620)))*Q620^(1/(1+((LOG10(V620/T620)/R620)^2))),IF(H620="S1",T620+V620,IF(H620="S2",T620+(V620/(1+(V620/#REF!))),""))))</f>
        <v>4.020697114689873E-11</v>
      </c>
      <c r="T620" s="40">
        <f t="shared" si="42"/>
        <v>4.020697114689873E-11</v>
      </c>
      <c r="U620" s="15">
        <f t="shared" si="43"/>
        <v>0</v>
      </c>
      <c r="V620" s="132"/>
      <c r="W620" s="132"/>
      <c r="X620" s="134"/>
      <c r="Y620" s="134"/>
    </row>
    <row r="621" spans="2:25" ht="89.25">
      <c r="B621" s="49" t="s">
        <v>599</v>
      </c>
      <c r="C621" s="14" t="s">
        <v>1388</v>
      </c>
      <c r="D621" s="97" t="str">
        <f>IF(H621="S",CONCATENATE("Same k as rxn ",I621),H621)</f>
        <v>Same k as rxn BL16</v>
      </c>
      <c r="E621" s="98"/>
      <c r="F621" s="98"/>
      <c r="G621" s="99"/>
      <c r="H621" s="39" t="s">
        <v>56</v>
      </c>
      <c r="I621" s="49" t="s">
        <v>1384</v>
      </c>
      <c r="J621" s="42"/>
      <c r="K621" s="132"/>
      <c r="L621" s="133"/>
      <c r="M621" s="134"/>
      <c r="N621" s="132"/>
      <c r="O621" s="134"/>
      <c r="P621" s="135"/>
      <c r="Q621" s="134"/>
      <c r="R621" s="43"/>
      <c r="S621" s="40"/>
      <c r="T621" s="40"/>
      <c r="U621" s="15"/>
      <c r="V621" s="132"/>
      <c r="W621" s="132"/>
      <c r="X621" s="134"/>
      <c r="Y621" s="134"/>
    </row>
    <row r="622" spans="2:25" ht="114.75">
      <c r="B622" s="49" t="s">
        <v>600</v>
      </c>
      <c r="C622" s="14" t="s">
        <v>1391</v>
      </c>
      <c r="D622" s="97" t="str">
        <f>IF(H622="S",CONCATENATE("Same k as rxn ",I622),H622)</f>
        <v>Same k as rxn BL17</v>
      </c>
      <c r="E622" s="98"/>
      <c r="F622" s="98"/>
      <c r="G622" s="99"/>
      <c r="H622" s="39" t="s">
        <v>56</v>
      </c>
      <c r="I622" s="49" t="s">
        <v>1385</v>
      </c>
      <c r="J622" s="42"/>
      <c r="K622" s="132"/>
      <c r="L622" s="133"/>
      <c r="M622" s="134"/>
      <c r="N622" s="132"/>
      <c r="O622" s="134"/>
      <c r="P622" s="135"/>
      <c r="Q622" s="134"/>
      <c r="R622" s="43"/>
      <c r="S622" s="40"/>
      <c r="T622" s="40"/>
      <c r="U622" s="15"/>
      <c r="V622" s="132"/>
      <c r="W622" s="132"/>
      <c r="X622" s="134"/>
      <c r="Y622" s="134"/>
    </row>
    <row r="623" spans="2:25" ht="89.25">
      <c r="B623" s="49" t="s">
        <v>601</v>
      </c>
      <c r="C623" s="14" t="s">
        <v>1392</v>
      </c>
      <c r="D623" s="97" t="str">
        <f>IF(H623="S",CONCATENATE("Same k as rxn ",I623),H623)</f>
        <v>Same k as rxn BL18</v>
      </c>
      <c r="E623" s="98"/>
      <c r="F623" s="98"/>
      <c r="G623" s="99"/>
      <c r="H623" s="39" t="s">
        <v>56</v>
      </c>
      <c r="I623" s="49" t="s">
        <v>1386</v>
      </c>
      <c r="J623" s="42"/>
      <c r="K623" s="132"/>
      <c r="L623" s="133"/>
      <c r="M623" s="134"/>
      <c r="N623" s="132"/>
      <c r="O623" s="134"/>
      <c r="P623" s="135"/>
      <c r="Q623" s="134"/>
      <c r="R623" s="43"/>
      <c r="S623" s="40"/>
      <c r="T623" s="40"/>
      <c r="U623" s="15"/>
      <c r="V623" s="132"/>
      <c r="W623" s="132"/>
      <c r="X623" s="134"/>
      <c r="Y623" s="134"/>
    </row>
    <row r="624" spans="2:25" ht="25.5">
      <c r="B624" s="49" t="s">
        <v>602</v>
      </c>
      <c r="C624" s="14" t="s">
        <v>1393</v>
      </c>
      <c r="D624" s="97" t="str">
        <f>IF(H624="S",CONCATENATE("Same k as rxn ",I624),H624)</f>
        <v>Same k as rxn BL19</v>
      </c>
      <c r="E624" s="98"/>
      <c r="F624" s="98"/>
      <c r="G624" s="99"/>
      <c r="H624" s="39" t="s">
        <v>56</v>
      </c>
      <c r="I624" s="49" t="s">
        <v>1387</v>
      </c>
      <c r="J624" s="42"/>
      <c r="K624" s="132"/>
      <c r="L624" s="133"/>
      <c r="M624" s="134"/>
      <c r="N624" s="132"/>
      <c r="O624" s="134"/>
      <c r="P624" s="135"/>
      <c r="Q624" s="134"/>
      <c r="R624" s="43"/>
      <c r="S624" s="40"/>
      <c r="T624" s="40"/>
      <c r="U624" s="15"/>
      <c r="V624" s="132"/>
      <c r="W624" s="132"/>
      <c r="X624" s="134"/>
      <c r="Y624" s="134"/>
    </row>
    <row r="625" spans="4:25" ht="15">
      <c r="D625" s="100"/>
      <c r="E625" s="100"/>
      <c r="F625" s="101"/>
      <c r="G625" s="108"/>
      <c r="J625" s="42"/>
      <c r="K625" s="132"/>
      <c r="L625" s="133"/>
      <c r="M625" s="134"/>
      <c r="N625" s="132"/>
      <c r="O625" s="134"/>
      <c r="P625" s="135"/>
      <c r="Q625" s="134"/>
      <c r="R625" s="43"/>
      <c r="S625" s="40"/>
      <c r="T625" s="40"/>
      <c r="U625" s="15"/>
      <c r="V625" s="132"/>
      <c r="W625" s="132"/>
      <c r="X625" s="134"/>
      <c r="Y625" s="134"/>
    </row>
    <row r="626" spans="1:25" ht="15">
      <c r="A626" s="13" t="s">
        <v>1110</v>
      </c>
      <c r="D626" s="98"/>
      <c r="E626" s="98"/>
      <c r="F626" s="98"/>
      <c r="G626" s="99"/>
      <c r="K626" s="116"/>
      <c r="L626" s="120"/>
      <c r="M626" s="118"/>
      <c r="N626" s="116"/>
      <c r="O626" s="120"/>
      <c r="P626" s="118"/>
      <c r="Q626" s="117"/>
      <c r="R626" s="136"/>
      <c r="S626" s="116"/>
      <c r="T626" s="116"/>
      <c r="U626" s="117"/>
      <c r="V626" s="116"/>
      <c r="W626" s="116"/>
      <c r="X626" s="117"/>
      <c r="Y626" s="117"/>
    </row>
    <row r="627" spans="2:25" ht="15">
      <c r="B627" s="49" t="s">
        <v>1111</v>
      </c>
      <c r="C627" s="14" t="s">
        <v>1112</v>
      </c>
      <c r="D627" s="97" t="str">
        <f>IF(H627="P",CONCATENATE("Phot Set= ",I627,IF(J627=0,"",CONCATENATE(", qy= ",TEXT(J627,"0.0e+0")))),H627)</f>
        <v>Phot Set= CL2</v>
      </c>
      <c r="E627" s="98"/>
      <c r="F627" s="98"/>
      <c r="G627" s="99"/>
      <c r="H627" s="39" t="s">
        <v>1856</v>
      </c>
      <c r="I627" s="49" t="s">
        <v>1792</v>
      </c>
      <c r="K627" s="116"/>
      <c r="L627" s="120"/>
      <c r="M627" s="118"/>
      <c r="N627" s="116"/>
      <c r="O627" s="120"/>
      <c r="P627" s="118"/>
      <c r="Q627" s="117"/>
      <c r="R627" s="136"/>
      <c r="S627" s="116"/>
      <c r="T627" s="116"/>
      <c r="U627" s="117"/>
      <c r="V627" s="116"/>
      <c r="W627" s="116"/>
      <c r="X627" s="117"/>
      <c r="Y627" s="117"/>
    </row>
    <row r="628" spans="2:25" ht="15">
      <c r="B628" s="49" t="s">
        <v>1861</v>
      </c>
      <c r="C628" s="14" t="s">
        <v>1113</v>
      </c>
      <c r="D628" s="98" t="s">
        <v>1114</v>
      </c>
      <c r="E628" s="98"/>
      <c r="F628" s="99"/>
      <c r="G628" s="99"/>
      <c r="H628" s="39" t="s">
        <v>1859</v>
      </c>
      <c r="K628" s="116">
        <v>1.4E-33</v>
      </c>
      <c r="L628" s="120">
        <v>0</v>
      </c>
      <c r="M628" s="118">
        <v>-3.9</v>
      </c>
      <c r="N628" s="116"/>
      <c r="O628" s="120"/>
      <c r="P628" s="118"/>
      <c r="Q628" s="117"/>
      <c r="R628" s="136"/>
      <c r="S628" s="40">
        <f>IF(OR(H628="T",H628="C"),T628,IF(H628="F",(V628/(1+(V628/T628)))*Q628^(1/(1+(LOG10(V628/T628)^2))),IF(H628="S1",T628+V628,"")))</f>
        <v>1.4E-33</v>
      </c>
      <c r="T628" s="40">
        <f>K628*EXP(-L628/T$4)*((T$4/300)^M628)</f>
        <v>1.4E-33</v>
      </c>
      <c r="U628" s="15">
        <f>L628*Rfac</f>
        <v>0</v>
      </c>
      <c r="V628" s="116"/>
      <c r="W628" s="116"/>
      <c r="X628" s="117"/>
      <c r="Y628" s="117"/>
    </row>
    <row r="629" spans="2:25" ht="15">
      <c r="B629" s="49" t="s">
        <v>1861</v>
      </c>
      <c r="C629" s="14" t="s">
        <v>1115</v>
      </c>
      <c r="D629" s="98" t="s">
        <v>1114</v>
      </c>
      <c r="E629" s="98"/>
      <c r="F629" s="99"/>
      <c r="G629" s="99"/>
      <c r="H629" s="39" t="s">
        <v>1859</v>
      </c>
      <c r="K629" s="116">
        <v>2.8E-10</v>
      </c>
      <c r="L629" s="120">
        <v>1820</v>
      </c>
      <c r="M629" s="118"/>
      <c r="N629" s="116"/>
      <c r="O629" s="120"/>
      <c r="P629" s="118"/>
      <c r="Q629" s="117"/>
      <c r="R629" s="136"/>
      <c r="S629" s="40">
        <f>IF(OR(H629="T",H629="C"),T629,IF(H629="F",(V629/(1+(V629/T629)))*Q629^(1/(1+(LOG10(V629/T629)^2))),IF(H629="S1",T629+V629,"")))</f>
        <v>6.492891931214375E-13</v>
      </c>
      <c r="T629" s="40">
        <f>K629*EXP(-L629/T$4)*((T$4/300)^M629)</f>
        <v>6.492891931214375E-13</v>
      </c>
      <c r="U629" s="15">
        <f>L629*Rfac</f>
        <v>3.6167040000000004</v>
      </c>
      <c r="V629" s="116"/>
      <c r="W629" s="116"/>
      <c r="X629" s="117"/>
      <c r="Y629" s="117"/>
    </row>
    <row r="630" spans="2:25" ht="15">
      <c r="B630" s="49" t="s">
        <v>1116</v>
      </c>
      <c r="C630" s="14" t="s">
        <v>1117</v>
      </c>
      <c r="D630" s="100">
        <f>IF(OR(H630="T",H630="C"),S630,H630)</f>
        <v>7.6E-32</v>
      </c>
      <c r="E630" s="100">
        <f>K630</f>
        <v>7.6E-32</v>
      </c>
      <c r="F630" s="101">
        <f>IF(H630="C","",U630)</f>
        <v>0</v>
      </c>
      <c r="G630" s="101">
        <f>IF(M630=0,"",M630)</f>
        <v>-1.8</v>
      </c>
      <c r="H630" s="39" t="s">
        <v>1859</v>
      </c>
      <c r="K630" s="116">
        <v>7.6E-32</v>
      </c>
      <c r="L630" s="120"/>
      <c r="M630" s="118">
        <v>-1.8</v>
      </c>
      <c r="N630" s="116"/>
      <c r="O630" s="120"/>
      <c r="P630" s="118"/>
      <c r="Q630" s="117"/>
      <c r="R630" s="136"/>
      <c r="S630" s="40">
        <f>IF(OR(H630="T",H630="C"),T630,IF(H630="F",(V630/(1+(V630/T630)))*Q630^(1/(1+(LOG10(V630/T630)^2))),IF(H630="S1",T630+V630,"")))</f>
        <v>7.6E-32</v>
      </c>
      <c r="T630" s="40">
        <f>K630*EXP(-L630/T$4)*((T$4/300)^M630)</f>
        <v>7.6E-32</v>
      </c>
      <c r="U630" s="15">
        <f>L630*Rfac</f>
        <v>0</v>
      </c>
      <c r="V630" s="116"/>
      <c r="W630" s="116"/>
      <c r="X630" s="117"/>
      <c r="Y630" s="117"/>
    </row>
    <row r="631" spans="2:25" ht="15">
      <c r="B631" s="49" t="s">
        <v>1118</v>
      </c>
      <c r="C631" s="14" t="s">
        <v>1119</v>
      </c>
      <c r="D631" s="97" t="str">
        <f>IF(H631="P",CONCATENATE("Phot Set= ",I631,IF(J631=0,"",CONCATENATE(", qy= ",TEXT(J631,"0.0e+0")))),H631)</f>
        <v>Phot Set= CLNO-06</v>
      </c>
      <c r="E631" s="98"/>
      <c r="F631" s="98"/>
      <c r="G631" s="99"/>
      <c r="H631" s="39" t="s">
        <v>1856</v>
      </c>
      <c r="I631" s="49" t="s">
        <v>1120</v>
      </c>
      <c r="K631" s="116"/>
      <c r="L631" s="120"/>
      <c r="M631" s="118"/>
      <c r="N631" s="116"/>
      <c r="O631" s="120"/>
      <c r="P631" s="118"/>
      <c r="Q631" s="117"/>
      <c r="R631" s="136"/>
      <c r="S631" s="116"/>
      <c r="T631" s="116"/>
      <c r="U631" s="117"/>
      <c r="V631" s="116"/>
      <c r="W631" s="116"/>
      <c r="X631" s="117"/>
      <c r="Y631" s="117"/>
    </row>
    <row r="632" spans="2:25" ht="15">
      <c r="B632" s="49" t="s">
        <v>1121</v>
      </c>
      <c r="C632" s="14" t="s">
        <v>1122</v>
      </c>
      <c r="D632" s="100">
        <f>S632</f>
        <v>1.6022348627303108E-11</v>
      </c>
      <c r="E632" s="102" t="str">
        <f>IF(H632="F","Falloff, F="&amp;TEXT(Q632,"0.00")&amp;", N="&amp;TEXT(R632,"0.00"),H632)</f>
        <v>Falloff, F=0.60, N=1.00</v>
      </c>
      <c r="F632" s="103"/>
      <c r="G632" s="99"/>
      <c r="H632" s="39" t="s">
        <v>1843</v>
      </c>
      <c r="K632" s="116">
        <v>1E-10</v>
      </c>
      <c r="L632" s="120">
        <v>0</v>
      </c>
      <c r="M632" s="118">
        <v>-1</v>
      </c>
      <c r="N632" s="116">
        <v>1.3E-30</v>
      </c>
      <c r="O632" s="120">
        <v>0</v>
      </c>
      <c r="P632" s="118">
        <v>-2</v>
      </c>
      <c r="Q632" s="117">
        <v>0.6</v>
      </c>
      <c r="R632" s="136">
        <v>1</v>
      </c>
      <c r="S632" s="40">
        <f>IF(OR(H632="T",H632="C"),T632,IF(H632="F",(V632/(1+(V632/T632)))*Q632^(1/(1+(LOG10(V632/T632)^2))),IF(H632="S1",T632+V632,IF(H632="S2",T632+(V632/(1+(V632/T635))),""))))</f>
        <v>1.6022348627303108E-11</v>
      </c>
      <c r="T632" s="40">
        <f>K632*EXP(-L632/T$4)*((T$4/300)^M632)</f>
        <v>1E-10</v>
      </c>
      <c r="U632" s="15">
        <f>L632*Rfac</f>
        <v>0</v>
      </c>
      <c r="V632" s="40">
        <f>W632*V$3*7.3395E+21/T$4</f>
        <v>3.18045E-11</v>
      </c>
      <c r="W632" s="40">
        <f>N632*EXP(-O632/T$4)*(T$4/300)^P632</f>
        <v>1.3E-30</v>
      </c>
      <c r="X632" s="15">
        <f>O632*Rfac</f>
        <v>0</v>
      </c>
      <c r="Y632" s="15"/>
    </row>
    <row r="633" spans="2:25" ht="15">
      <c r="B633" s="49" t="s">
        <v>1861</v>
      </c>
      <c r="D633" s="104" t="str">
        <f>IF(H632="F","0: ",H632)</f>
        <v>0: </v>
      </c>
      <c r="E633" s="100">
        <f>N632</f>
        <v>1.3E-30</v>
      </c>
      <c r="F633" s="101">
        <f>X632</f>
        <v>0</v>
      </c>
      <c r="G633" s="101">
        <f>P632</f>
        <v>-2</v>
      </c>
      <c r="K633" s="116"/>
      <c r="L633" s="120"/>
      <c r="M633" s="118"/>
      <c r="N633" s="116"/>
      <c r="O633" s="120"/>
      <c r="P633" s="118"/>
      <c r="Q633" s="117"/>
      <c r="R633" s="136"/>
      <c r="X633" s="117"/>
      <c r="Y633" s="117"/>
    </row>
    <row r="634" spans="2:25" ht="15">
      <c r="B634" s="49" t="s">
        <v>1861</v>
      </c>
      <c r="D634" s="104" t="str">
        <f>IF(H632="F","inf: ",H632)</f>
        <v>inf: </v>
      </c>
      <c r="E634" s="100">
        <f>K632</f>
        <v>1E-10</v>
      </c>
      <c r="F634" s="101">
        <f>U632</f>
        <v>0</v>
      </c>
      <c r="G634" s="101">
        <f>M632</f>
        <v>-1</v>
      </c>
      <c r="K634" s="116"/>
      <c r="L634" s="120"/>
      <c r="M634" s="118"/>
      <c r="N634" s="116"/>
      <c r="O634" s="120"/>
      <c r="P634" s="118"/>
      <c r="Q634" s="117"/>
      <c r="R634" s="136"/>
      <c r="X634" s="117"/>
      <c r="Y634" s="117"/>
    </row>
    <row r="635" spans="2:25" ht="15">
      <c r="B635" s="49" t="s">
        <v>1123</v>
      </c>
      <c r="C635" s="14" t="s">
        <v>1124</v>
      </c>
      <c r="D635" s="100">
        <f>S635</f>
        <v>3.523423959125473E-12</v>
      </c>
      <c r="E635" s="102" t="str">
        <f>IF(H635="F","Falloff, F="&amp;TEXT(Q635,"0.00")&amp;", N="&amp;TEXT(R635,"0.00"),H635)</f>
        <v>Falloff, F=0.60, N=1.00</v>
      </c>
      <c r="F635" s="103"/>
      <c r="G635" s="99"/>
      <c r="H635" s="39" t="s">
        <v>1843</v>
      </c>
      <c r="K635" s="116">
        <v>1E-10</v>
      </c>
      <c r="L635" s="120">
        <v>0</v>
      </c>
      <c r="M635" s="118">
        <v>-1</v>
      </c>
      <c r="N635" s="116">
        <v>1.8E-31</v>
      </c>
      <c r="O635" s="120">
        <v>0</v>
      </c>
      <c r="P635" s="118">
        <v>-2</v>
      </c>
      <c r="Q635" s="117">
        <v>0.6</v>
      </c>
      <c r="R635" s="136">
        <v>1</v>
      </c>
      <c r="S635" s="40">
        <f>IF(OR(H635="T",H635="C"),T635,IF(H635="F",(V635/(1+(V635/T635)))*Q635^(1/(1+(LOG10(V635/T635)^2))),IF(H635="S1",T635+V635,IF(H635="S2",T635+(V635/(1+(V635/T638))),""))))</f>
        <v>3.523423959125473E-12</v>
      </c>
      <c r="T635" s="40">
        <f>K635*EXP(-L635/T$4)*((T$4/300)^M635)</f>
        <v>1E-10</v>
      </c>
      <c r="U635" s="15">
        <f>L635*Rfac</f>
        <v>0</v>
      </c>
      <c r="V635" s="40">
        <f>W635*V$3*7.3395E+21/T$4</f>
        <v>4.4037E-12</v>
      </c>
      <c r="W635" s="40">
        <f>N635*EXP(-O635/T$4)*(T$4/300)^P635</f>
        <v>1.8E-31</v>
      </c>
      <c r="X635" s="15">
        <f>O635*Rfac</f>
        <v>0</v>
      </c>
      <c r="Y635" s="15"/>
    </row>
    <row r="636" spans="2:25" ht="15">
      <c r="B636" s="49" t="s">
        <v>1861</v>
      </c>
      <c r="D636" s="104" t="str">
        <f>IF(H635="F","0: ",H635)</f>
        <v>0: </v>
      </c>
      <c r="E636" s="100">
        <f>N635</f>
        <v>1.8E-31</v>
      </c>
      <c r="F636" s="101">
        <f>X635</f>
        <v>0</v>
      </c>
      <c r="G636" s="101">
        <f>P635</f>
        <v>-2</v>
      </c>
      <c r="K636" s="116"/>
      <c r="L636" s="120"/>
      <c r="M636" s="118"/>
      <c r="N636" s="116"/>
      <c r="O636" s="120"/>
      <c r="P636" s="118"/>
      <c r="Q636" s="117"/>
      <c r="R636" s="136"/>
      <c r="X636" s="117"/>
      <c r="Y636" s="117"/>
    </row>
    <row r="637" spans="2:25" ht="15">
      <c r="B637" s="49" t="s">
        <v>1861</v>
      </c>
      <c r="D637" s="104" t="str">
        <f>IF(H635="F","inf: ",H635)</f>
        <v>inf: </v>
      </c>
      <c r="E637" s="100">
        <f>K635</f>
        <v>1E-10</v>
      </c>
      <c r="F637" s="101">
        <f>U635</f>
        <v>0</v>
      </c>
      <c r="G637" s="101">
        <f>M635</f>
        <v>-1</v>
      </c>
      <c r="K637" s="116"/>
      <c r="L637" s="120"/>
      <c r="M637" s="118"/>
      <c r="N637" s="116"/>
      <c r="O637" s="120"/>
      <c r="P637" s="118"/>
      <c r="Q637" s="117"/>
      <c r="R637" s="136"/>
      <c r="X637" s="117"/>
      <c r="Y637" s="117"/>
    </row>
    <row r="638" spans="2:25" ht="15">
      <c r="B638" s="49" t="s">
        <v>1125</v>
      </c>
      <c r="C638" s="14" t="s">
        <v>1126</v>
      </c>
      <c r="D638" s="97" t="str">
        <f>IF(H638="P",CONCATENATE("Phot Set= ",I638,IF(J638=0,"",CONCATENATE(", qy= ",TEXT(J638,"0.0e+0")))),H638)</f>
        <v>Phot Set= CLONO</v>
      </c>
      <c r="E638" s="98"/>
      <c r="F638" s="98"/>
      <c r="G638" s="99"/>
      <c r="H638" s="39" t="s">
        <v>1856</v>
      </c>
      <c r="I638" s="49" t="s">
        <v>1796</v>
      </c>
      <c r="K638" s="116"/>
      <c r="L638" s="120"/>
      <c r="M638" s="118"/>
      <c r="N638" s="116"/>
      <c r="O638" s="120"/>
      <c r="P638" s="118"/>
      <c r="Q638" s="117"/>
      <c r="R638" s="136"/>
      <c r="S638" s="116"/>
      <c r="T638" s="116"/>
      <c r="U638" s="117"/>
      <c r="V638" s="116"/>
      <c r="W638" s="116"/>
      <c r="X638" s="117"/>
      <c r="Y638" s="117"/>
    </row>
    <row r="639" spans="2:25" ht="15">
      <c r="B639" s="49" t="s">
        <v>1127</v>
      </c>
      <c r="C639" s="14" t="s">
        <v>1128</v>
      </c>
      <c r="D639" s="97" t="str">
        <f>IF(H639="P",CONCATENATE("Phot Set= ",I639,IF(J639=0,"",CONCATENATE(", qy= ",TEXT(J639,"0.0e+0")))),H639)</f>
        <v>Phot Set= CLNO2</v>
      </c>
      <c r="E639" s="98"/>
      <c r="F639" s="98"/>
      <c r="G639" s="99"/>
      <c r="H639" s="39" t="s">
        <v>1856</v>
      </c>
      <c r="I639" s="49" t="s">
        <v>1798</v>
      </c>
      <c r="K639" s="116"/>
      <c r="L639" s="120"/>
      <c r="M639" s="118"/>
      <c r="N639" s="116"/>
      <c r="O639" s="120"/>
      <c r="P639" s="118"/>
      <c r="Q639" s="117"/>
      <c r="R639" s="136"/>
      <c r="S639" s="116"/>
      <c r="T639" s="116"/>
      <c r="U639" s="117"/>
      <c r="V639" s="116"/>
      <c r="W639" s="116"/>
      <c r="X639" s="117"/>
      <c r="Y639" s="117"/>
    </row>
    <row r="640" spans="2:25" ht="15">
      <c r="B640" s="49" t="s">
        <v>1129</v>
      </c>
      <c r="C640" s="14" t="s">
        <v>1130</v>
      </c>
      <c r="D640" s="100">
        <f>IF(OR(H640="T",H640="C"),S640,H640)</f>
        <v>3.444026821324636E-11</v>
      </c>
      <c r="E640" s="100">
        <f>K640</f>
        <v>3.444026821324636E-11</v>
      </c>
      <c r="F640" s="101">
        <f>IF(H640="C","",U640)</f>
        <v>0</v>
      </c>
      <c r="G640" s="101">
        <f>IF(M640=0,"",M640)</f>
        <v>-0.5586324358938983</v>
      </c>
      <c r="H640" s="39" t="s">
        <v>1859</v>
      </c>
      <c r="K640" s="116">
        <v>3.444026821324636E-11</v>
      </c>
      <c r="L640" s="120">
        <v>0</v>
      </c>
      <c r="M640" s="118">
        <v>-0.5586324358938983</v>
      </c>
      <c r="N640" s="116"/>
      <c r="O640" s="120"/>
      <c r="P640" s="118"/>
      <c r="Q640" s="117"/>
      <c r="R640" s="136"/>
      <c r="S640" s="40">
        <f>IF(OR(H640="T",H640="C"),T640,IF(H640="F",(V640/(1+(V640/T640)))*Q640^(1/(1+(LOG10(V640/T640)^2))),IF(H640="S1",T640+V640,"")))</f>
        <v>3.444026821324636E-11</v>
      </c>
      <c r="T640" s="40">
        <f aca="true" t="shared" si="44" ref="T640:T645">K640*EXP(-L640/T$4)*((T$4/300)^M640)</f>
        <v>3.444026821324636E-11</v>
      </c>
      <c r="U640" s="15">
        <f>L640*Rfac</f>
        <v>0</v>
      </c>
      <c r="V640" s="116"/>
      <c r="W640" s="116"/>
      <c r="X640" s="117"/>
      <c r="Y640" s="117"/>
    </row>
    <row r="641" spans="2:25" ht="15">
      <c r="B641" s="49" t="s">
        <v>1131</v>
      </c>
      <c r="C641" s="14" t="s">
        <v>1132</v>
      </c>
      <c r="D641" s="100">
        <f>IF(OR(H641="T",H641="C"),S641,H641)</f>
        <v>9.414628272410498E-12</v>
      </c>
      <c r="E641" s="100">
        <f>K641</f>
        <v>9.414628272410498E-12</v>
      </c>
      <c r="F641" s="101">
        <f>IF(H641="C","",U641)</f>
        <v>0</v>
      </c>
      <c r="G641" s="101">
        <f>IF(M641=0,"",M641)</f>
        <v>2.0989101394429066</v>
      </c>
      <c r="H641" s="39" t="s">
        <v>1859</v>
      </c>
      <c r="K641" s="116">
        <v>9.414628272410498E-12</v>
      </c>
      <c r="L641" s="120">
        <v>0</v>
      </c>
      <c r="M641" s="118">
        <v>2.0989101394429066</v>
      </c>
      <c r="N641" s="116"/>
      <c r="O641" s="120"/>
      <c r="P641" s="118"/>
      <c r="Q641" s="117"/>
      <c r="R641" s="136"/>
      <c r="S641" s="40">
        <f>IF(OR(H641="T",H641="C"),T641,IF(H641="F",(V641/(1+(V641/T641)))*Q641^(1/(1+(LOG10(V641/T641)^2))),IF(H641="S1",T641+V641,"")))</f>
        <v>9.414628272410498E-12</v>
      </c>
      <c r="T641" s="40">
        <f t="shared" si="44"/>
        <v>9.414628272410498E-12</v>
      </c>
      <c r="U641" s="15">
        <f>L641*Rfac</f>
        <v>0</v>
      </c>
      <c r="V641" s="116"/>
      <c r="W641" s="116"/>
      <c r="X641" s="117"/>
      <c r="Y641" s="117"/>
    </row>
    <row r="642" spans="2:25" ht="15">
      <c r="B642" s="49" t="s">
        <v>1133</v>
      </c>
      <c r="C642" s="14" t="s">
        <v>1134</v>
      </c>
      <c r="D642" s="100">
        <f>IF(OR(H642="T",H642="C"),S642,H642)</f>
        <v>1.216874983819819E-11</v>
      </c>
      <c r="E642" s="100">
        <f>K642</f>
        <v>2.8E-11</v>
      </c>
      <c r="F642" s="101">
        <f>IF(H642="C","",U642)</f>
        <v>0.4968</v>
      </c>
      <c r="G642" s="101">
        <f>IF(M642=0,"",M642)</f>
      </c>
      <c r="H642" s="39" t="s">
        <v>1859</v>
      </c>
      <c r="K642" s="116">
        <v>2.8E-11</v>
      </c>
      <c r="L642" s="120">
        <v>250</v>
      </c>
      <c r="M642" s="118"/>
      <c r="N642" s="116"/>
      <c r="O642" s="120"/>
      <c r="P642" s="118"/>
      <c r="Q642" s="117"/>
      <c r="R642" s="136"/>
      <c r="S642" s="40">
        <f>IF(OR(H642="T",H642="C"),T642,IF(H642="F",(V642/(1+(V642/T642)))*Q642^(1/(1+(LOG10(V642/T642)^2))),IF(H642="S1",T642+V642,"")))</f>
        <v>1.216874983819819E-11</v>
      </c>
      <c r="T642" s="40">
        <f t="shared" si="44"/>
        <v>1.216874983819819E-11</v>
      </c>
      <c r="U642" s="15">
        <f>L642*Rfac</f>
        <v>0.4968</v>
      </c>
      <c r="V642" s="116"/>
      <c r="W642" s="116"/>
      <c r="X642" s="117"/>
      <c r="Y642" s="117"/>
    </row>
    <row r="643" spans="2:25" ht="15">
      <c r="B643" s="49" t="s">
        <v>1135</v>
      </c>
      <c r="C643" s="14" t="s">
        <v>1136</v>
      </c>
      <c r="D643" s="100">
        <f>IF(OR(H643="T",H643="C"),S643,H643)</f>
        <v>2.4E-11</v>
      </c>
      <c r="E643" s="95"/>
      <c r="F643" s="101">
        <f>IF(H643="C","",U643)</f>
      </c>
      <c r="G643" s="101">
        <f>IF(M643=0,"",M643)</f>
      </c>
      <c r="H643" s="39" t="s">
        <v>1851</v>
      </c>
      <c r="K643" s="116">
        <v>2.4E-11</v>
      </c>
      <c r="L643" s="120"/>
      <c r="M643" s="118"/>
      <c r="N643" s="116"/>
      <c r="O643" s="120"/>
      <c r="P643" s="118"/>
      <c r="Q643" s="117"/>
      <c r="R643" s="136"/>
      <c r="S643" s="40">
        <f>IF(OR(H643="T",H643="C"),T643,IF(H643="F",(V643/(1+(V643/T643)))*Q643^(1/(1+(LOG10(V643/T643)^2))),IF(H643="S1",T643+V643,IF(H643="S2",T643+(V643/(1+(V643/T645))),""))))</f>
        <v>2.4E-11</v>
      </c>
      <c r="T643" s="40">
        <f t="shared" si="44"/>
        <v>2.4E-11</v>
      </c>
      <c r="U643" s="117"/>
      <c r="V643" s="116"/>
      <c r="W643" s="116"/>
      <c r="X643" s="117"/>
      <c r="Y643" s="117"/>
    </row>
    <row r="644" spans="2:25" ht="15">
      <c r="B644" s="49" t="s">
        <v>1137</v>
      </c>
      <c r="C644" s="14" t="s">
        <v>1138</v>
      </c>
      <c r="D644" s="100">
        <f>IF(OR(H644="T",H644="C"),S644,H644)</f>
        <v>1.657478600673531E-11</v>
      </c>
      <c r="E644" s="100">
        <f>K644</f>
        <v>6.2E-12</v>
      </c>
      <c r="F644" s="101">
        <f>IF(H644="C","",U644)</f>
        <v>-0.5862240000000001</v>
      </c>
      <c r="G644" s="101">
        <f>IF(M644=0,"",M644)</f>
      </c>
      <c r="H644" s="39" t="s">
        <v>1859</v>
      </c>
      <c r="K644" s="116">
        <v>6.2E-12</v>
      </c>
      <c r="L644" s="120">
        <v>-295</v>
      </c>
      <c r="M644" s="118"/>
      <c r="N644" s="116"/>
      <c r="O644" s="120"/>
      <c r="P644" s="118"/>
      <c r="Q644" s="15"/>
      <c r="R644" s="136"/>
      <c r="S644" s="40">
        <f>IF(OR(H644="T",H644="C"),T644,IF(H644="F",(V644/(1+(V644/T644)))*Q644^(1/(1+(LOG10(V644/T644)^2))),IF(H644="S1",T644+V644,"")))</f>
        <v>1.657478600673531E-11</v>
      </c>
      <c r="T644" s="40">
        <f t="shared" si="44"/>
        <v>1.657478600673531E-11</v>
      </c>
      <c r="U644" s="15">
        <f>L644*Rfac</f>
        <v>-0.5862240000000001</v>
      </c>
      <c r="V644" s="116"/>
      <c r="W644" s="116"/>
      <c r="X644" s="117"/>
      <c r="Y644" s="117"/>
    </row>
    <row r="645" spans="2:25" ht="15">
      <c r="B645" s="49" t="s">
        <v>1139</v>
      </c>
      <c r="C645" s="14" t="s">
        <v>1140</v>
      </c>
      <c r="D645" s="100">
        <f>S645</f>
        <v>2.28640322061888E-12</v>
      </c>
      <c r="E645" s="102" t="str">
        <f>IF(H645="F","Falloff, F="&amp;TEXT(Q645,"0.00")&amp;", N="&amp;TEXT(R645,"0.00"),H645)</f>
        <v>Falloff, F=0.60, N=1.00</v>
      </c>
      <c r="F645" s="103"/>
      <c r="G645" s="99"/>
      <c r="H645" s="39" t="s">
        <v>1843</v>
      </c>
      <c r="K645" s="116">
        <v>1.5E-11</v>
      </c>
      <c r="L645" s="120">
        <v>0</v>
      </c>
      <c r="M645" s="118">
        <v>-1.9</v>
      </c>
      <c r="N645" s="116">
        <v>1.8E-31</v>
      </c>
      <c r="O645" s="120">
        <v>0</v>
      </c>
      <c r="P645" s="118">
        <v>-3.4</v>
      </c>
      <c r="Q645" s="117">
        <v>0.6</v>
      </c>
      <c r="R645" s="136">
        <v>1</v>
      </c>
      <c r="S645" s="40">
        <f>IF(OR(H645="T",H645="C"),T645,IF(H645="F",(V645/(1+(V645/T645)))*Q645^(1/(1+(LOG10(V645/T645)^2))),IF(H645="S1",T645+V645,IF(H645="S2",T645+(V645/(1+(V645/T648))),""))))</f>
        <v>2.28640322061888E-12</v>
      </c>
      <c r="T645" s="40">
        <f t="shared" si="44"/>
        <v>1.5E-11</v>
      </c>
      <c r="U645" s="15">
        <f>L645*Rfac</f>
        <v>0</v>
      </c>
      <c r="V645" s="40">
        <f>W645*V$3*7.3395E+21/T$4</f>
        <v>4.4037E-12</v>
      </c>
      <c r="W645" s="40">
        <f>N645*EXP(-O645/T$4)*(T$4/300)^P645</f>
        <v>1.8E-31</v>
      </c>
      <c r="X645" s="15">
        <f>O645*Rfac</f>
        <v>0</v>
      </c>
      <c r="Y645" s="15"/>
    </row>
    <row r="646" spans="2:25" ht="15">
      <c r="B646" s="49" t="s">
        <v>1861</v>
      </c>
      <c r="D646" s="104" t="str">
        <f>IF(H645="F","0: ",H645)</f>
        <v>0: </v>
      </c>
      <c r="E646" s="100">
        <f>N645</f>
        <v>1.8E-31</v>
      </c>
      <c r="F646" s="101">
        <f>X645</f>
        <v>0</v>
      </c>
      <c r="G646" s="101">
        <f>P645</f>
        <v>-3.4</v>
      </c>
      <c r="K646" s="116"/>
      <c r="L646" s="120"/>
      <c r="M646" s="118"/>
      <c r="N646" s="116"/>
      <c r="O646" s="120"/>
      <c r="P646" s="118"/>
      <c r="Q646" s="117"/>
      <c r="R646" s="136"/>
      <c r="X646" s="117"/>
      <c r="Y646" s="117"/>
    </row>
    <row r="647" spans="2:25" ht="15">
      <c r="B647" s="49" t="s">
        <v>1861</v>
      </c>
      <c r="D647" s="104" t="str">
        <f>IF(H645="F","inf: ",H645)</f>
        <v>inf: </v>
      </c>
      <c r="E647" s="100">
        <f>K645</f>
        <v>1.5E-11</v>
      </c>
      <c r="F647" s="101">
        <f>U645</f>
        <v>0</v>
      </c>
      <c r="G647" s="101">
        <f>M645</f>
        <v>-1.9</v>
      </c>
      <c r="K647" s="116"/>
      <c r="L647" s="120"/>
      <c r="M647" s="118"/>
      <c r="N647" s="116"/>
      <c r="O647" s="120"/>
      <c r="P647" s="118"/>
      <c r="Q647" s="117"/>
      <c r="R647" s="136"/>
      <c r="X647" s="117"/>
      <c r="Y647" s="117"/>
    </row>
    <row r="648" spans="2:25" ht="15">
      <c r="B648" s="49" t="s">
        <v>1141</v>
      </c>
      <c r="C648" s="14" t="s">
        <v>1142</v>
      </c>
      <c r="D648" s="97" t="str">
        <f>IF(H648="P",CONCATENATE("Phot Set= ",I648,IF(J648=0,"",CONCATENATE(", qy= ",TEXT(J648,"0.0e+0")))),H648)</f>
        <v>Phot Set= CLONO2-1</v>
      </c>
      <c r="E648" s="98"/>
      <c r="F648" s="98"/>
      <c r="G648" s="99"/>
      <c r="H648" s="39" t="s">
        <v>1856</v>
      </c>
      <c r="I648" s="49" t="s">
        <v>1143</v>
      </c>
      <c r="K648" s="116"/>
      <c r="L648" s="120"/>
      <c r="M648" s="118"/>
      <c r="N648" s="116"/>
      <c r="O648" s="120"/>
      <c r="P648" s="118"/>
      <c r="Q648" s="117"/>
      <c r="R648" s="136"/>
      <c r="S648" s="116"/>
      <c r="T648" s="116"/>
      <c r="U648" s="117"/>
      <c r="V648" s="116"/>
      <c r="W648" s="116"/>
      <c r="X648" s="117"/>
      <c r="Y648" s="117"/>
    </row>
    <row r="649" spans="2:25" ht="15">
      <c r="B649" s="49" t="s">
        <v>1144</v>
      </c>
      <c r="C649" s="14" t="s">
        <v>1145</v>
      </c>
      <c r="D649" s="97" t="str">
        <f>IF(H649="P",CONCATENATE("Phot Set= ",I649,IF(J649=0,"",CONCATENATE(", qy= ",TEXT(J649,"0.0e+0")))),H649)</f>
        <v>Phot Set= CLONO2-2</v>
      </c>
      <c r="E649" s="98"/>
      <c r="F649" s="98"/>
      <c r="G649" s="99"/>
      <c r="H649" s="39" t="s">
        <v>1856</v>
      </c>
      <c r="I649" s="49" t="s">
        <v>1146</v>
      </c>
      <c r="K649" s="116"/>
      <c r="L649" s="120"/>
      <c r="M649" s="118"/>
      <c r="N649" s="116"/>
      <c r="O649" s="120"/>
      <c r="P649" s="118"/>
      <c r="Q649" s="117"/>
      <c r="R649" s="136"/>
      <c r="S649" s="116"/>
      <c r="T649" s="116"/>
      <c r="U649" s="117"/>
      <c r="V649" s="116"/>
      <c r="W649" s="116"/>
      <c r="X649" s="117"/>
      <c r="Y649" s="117"/>
    </row>
    <row r="650" spans="2:25" ht="15">
      <c r="B650" s="49" t="s">
        <v>1147</v>
      </c>
      <c r="C650" s="14" t="s">
        <v>1148</v>
      </c>
      <c r="D650" s="100">
        <f>S650</f>
        <v>0.00041220729274418837</v>
      </c>
      <c r="E650" s="102" t="str">
        <f>IF(H650="F","Falloff, F="&amp;TEXT(Q650,"0.00")&amp;", N="&amp;TEXT(R650,"0.00"),H650)</f>
        <v>Falloff, F=0.60, N=1.00</v>
      </c>
      <c r="F650" s="103"/>
      <c r="G650" s="99"/>
      <c r="H650" s="39" t="s">
        <v>1843</v>
      </c>
      <c r="K650" s="116">
        <v>3710000000000000</v>
      </c>
      <c r="L650" s="120">
        <v>12530</v>
      </c>
      <c r="M650" s="118">
        <v>3.5</v>
      </c>
      <c r="N650" s="116">
        <v>4.48E-05</v>
      </c>
      <c r="O650" s="120">
        <v>12530</v>
      </c>
      <c r="P650" s="118">
        <v>-1</v>
      </c>
      <c r="Q650" s="117">
        <v>0.6</v>
      </c>
      <c r="R650" s="136">
        <v>1</v>
      </c>
      <c r="S650" s="40">
        <f>IF(OR(H650="T",H650="C"),T650,IF(H650="F",(V650/(1+(V650/T650)))*Q650^(1/(1+(LOG10(V650/T650)^2))),IF(H650="S1",T650+V650,IF(H650="S2",T650+(V650/(1+(V650/T655))),""))))</f>
        <v>0.00041220729274418837</v>
      </c>
      <c r="T650" s="40">
        <f>K650*EXP(-L650/T$4)*((T$4/300)^M650)</f>
        <v>0.0026936492798109945</v>
      </c>
      <c r="U650" s="15">
        <f>L650*Rfac</f>
        <v>24.899616</v>
      </c>
      <c r="V650" s="40">
        <f>W650*V$3*7.3395E+21/T$4</f>
        <v>0.0007957751502560118</v>
      </c>
      <c r="W650" s="40">
        <f>N650*EXP(-O650/T$4)*(T$4/300)^P650</f>
        <v>3.252708564300069E-23</v>
      </c>
      <c r="X650" s="15">
        <f>O650*Rfac</f>
        <v>24.899616</v>
      </c>
      <c r="Y650" s="15"/>
    </row>
    <row r="651" spans="2:25" ht="15">
      <c r="B651" s="49" t="s">
        <v>1861</v>
      </c>
      <c r="D651" s="104" t="str">
        <f>IF(H650="F","0: ",H650)</f>
        <v>0: </v>
      </c>
      <c r="E651" s="100">
        <f>N650</f>
        <v>4.48E-05</v>
      </c>
      <c r="F651" s="101">
        <f>X650</f>
        <v>24.899616</v>
      </c>
      <c r="G651" s="101">
        <f>P650</f>
        <v>-1</v>
      </c>
      <c r="K651" s="116"/>
      <c r="L651" s="120"/>
      <c r="M651" s="118"/>
      <c r="N651" s="116"/>
      <c r="O651" s="120"/>
      <c r="P651" s="118"/>
      <c r="Q651" s="117"/>
      <c r="R651" s="136"/>
      <c r="S651" s="40"/>
      <c r="T651" s="40"/>
      <c r="U651" s="15"/>
      <c r="V651" s="40"/>
      <c r="W651" s="40"/>
      <c r="X651" s="15"/>
      <c r="Y651" s="15"/>
    </row>
    <row r="652" spans="2:25" ht="15">
      <c r="B652" s="49" t="s">
        <v>1861</v>
      </c>
      <c r="D652" s="104" t="str">
        <f>IF(H650="F","inf: ",H650)</f>
        <v>inf: </v>
      </c>
      <c r="E652" s="100">
        <f>K650</f>
        <v>3710000000000000</v>
      </c>
      <c r="F652" s="101">
        <f>U650</f>
        <v>24.899616</v>
      </c>
      <c r="G652" s="101">
        <f>M650</f>
        <v>3.5</v>
      </c>
      <c r="K652" s="116"/>
      <c r="L652" s="120"/>
      <c r="M652" s="118"/>
      <c r="N652" s="116"/>
      <c r="O652" s="120"/>
      <c r="P652" s="118"/>
      <c r="Q652" s="117"/>
      <c r="R652" s="136"/>
      <c r="S652" s="40"/>
      <c r="T652" s="40"/>
      <c r="U652" s="15"/>
      <c r="V652" s="40"/>
      <c r="W652" s="40"/>
      <c r="X652" s="15"/>
      <c r="Y652" s="15"/>
    </row>
    <row r="653" spans="2:25" ht="15">
      <c r="B653" s="49" t="s">
        <v>1149</v>
      </c>
      <c r="C653" s="14" t="s">
        <v>1150</v>
      </c>
      <c r="D653" s="100">
        <f>IF(OR(H653="T",H653="C"),S653,H653)</f>
        <v>1.0053115891260894E-11</v>
      </c>
      <c r="E653" s="100">
        <f>K653</f>
        <v>6.2E-12</v>
      </c>
      <c r="F653" s="101">
        <f>IF(H653="C","",U653)</f>
        <v>-0.288144</v>
      </c>
      <c r="G653" s="101">
        <f>IF(M653=0,"",M653)</f>
      </c>
      <c r="H653" s="39" t="s">
        <v>1859</v>
      </c>
      <c r="K653" s="116">
        <v>6.2E-12</v>
      </c>
      <c r="L653" s="120">
        <v>-145</v>
      </c>
      <c r="M653" s="118"/>
      <c r="N653" s="116"/>
      <c r="O653" s="120"/>
      <c r="P653" s="118"/>
      <c r="Q653" s="117"/>
      <c r="R653" s="136"/>
      <c r="S653" s="40">
        <f>IF(OR(H653="T",H653="C"),T653,IF(H653="F",(V653/(1+(V653/T653)))*Q653^(1/(1+(LOG10(V653/T653)^2))),IF(H653="S1",T653+V653,"")))</f>
        <v>1.0053115891260894E-11</v>
      </c>
      <c r="T653" s="40">
        <f>K653*EXP(-L653/T$4)*((T$4/300)^M653)</f>
        <v>1.0053115891260894E-11</v>
      </c>
      <c r="U653" s="15">
        <f>L653*Rfac</f>
        <v>-0.288144</v>
      </c>
      <c r="V653" s="116"/>
      <c r="W653" s="116"/>
      <c r="X653" s="117"/>
      <c r="Y653" s="117"/>
    </row>
    <row r="654" spans="2:25" ht="15">
      <c r="B654" s="49" t="s">
        <v>1151</v>
      </c>
      <c r="C654" s="14" t="s">
        <v>1152</v>
      </c>
      <c r="D654" s="100">
        <f>IF(OR(H654="T",H654="C"),S654,H654)</f>
        <v>6.833183659151783E-12</v>
      </c>
      <c r="E654" s="100">
        <f>K654</f>
        <v>2.2E-12</v>
      </c>
      <c r="F654" s="101">
        <f>IF(H654="C","",U654)</f>
        <v>-0.675648</v>
      </c>
      <c r="G654" s="101">
        <f>IF(M654=0,"",M654)</f>
      </c>
      <c r="H654" s="39" t="s">
        <v>1859</v>
      </c>
      <c r="K654" s="116">
        <v>2.2E-12</v>
      </c>
      <c r="L654" s="120">
        <v>-340</v>
      </c>
      <c r="M654" s="118"/>
      <c r="N654" s="116"/>
      <c r="O654" s="120"/>
      <c r="P654" s="118"/>
      <c r="Q654" s="117"/>
      <c r="R654" s="136"/>
      <c r="S654" s="40">
        <f>IF(OR(H654="T",H654="C"),T654,IF(H654="F",(V654/(1+(V654/T654)))*Q654^(1/(1+(LOG10(V654/T654)^2))),IF(H654="S1",T654+V654,"")))</f>
        <v>6.833183659151783E-12</v>
      </c>
      <c r="T654" s="40">
        <f>K654*EXP(-L654/T$4)*((T$4/300)^M654)</f>
        <v>6.833183659151783E-12</v>
      </c>
      <c r="U654" s="15">
        <f>L654*Rfac</f>
        <v>-0.675648</v>
      </c>
      <c r="V654" s="116"/>
      <c r="W654" s="116"/>
      <c r="X654" s="117"/>
      <c r="Y654" s="117"/>
    </row>
    <row r="655" spans="2:25" ht="15">
      <c r="B655" s="49" t="s">
        <v>1153</v>
      </c>
      <c r="C655" s="14" t="s">
        <v>1154</v>
      </c>
      <c r="D655" s="97" t="str">
        <f>IF(H655="P",CONCATENATE("Phot Set= ",I655,IF(J655=0,"",CONCATENATE(", qy= ",TEXT(J655,"0.0e+0")))),H655)</f>
        <v>Phot Set= HOCL-06</v>
      </c>
      <c r="E655" s="98"/>
      <c r="F655" s="98"/>
      <c r="G655" s="99"/>
      <c r="H655" s="39" t="s">
        <v>1856</v>
      </c>
      <c r="I655" s="49" t="s">
        <v>1155</v>
      </c>
      <c r="K655" s="116"/>
      <c r="L655" s="120"/>
      <c r="M655" s="118"/>
      <c r="N655" s="116"/>
      <c r="O655" s="120"/>
      <c r="P655" s="118"/>
      <c r="Q655" s="117"/>
      <c r="R655" s="136"/>
      <c r="S655" s="116"/>
      <c r="T655" s="116"/>
      <c r="U655" s="117"/>
      <c r="V655" s="116"/>
      <c r="W655" s="116"/>
      <c r="X655" s="117"/>
      <c r="Y655" s="117"/>
    </row>
    <row r="656" spans="2:25" ht="15">
      <c r="B656" s="49" t="s">
        <v>1156</v>
      </c>
      <c r="C656" s="14" t="s">
        <v>1157</v>
      </c>
      <c r="D656" s="100">
        <f>IF(OR(H656="T",H656="C"),S656,H656)</f>
        <v>1.8159009777456006E-14</v>
      </c>
      <c r="E656" s="100">
        <f aca="true" t="shared" si="45" ref="E656:E664">K656</f>
        <v>1.2469344834607813E-11</v>
      </c>
      <c r="F656" s="101">
        <f>IF(H656="C","",U656)</f>
        <v>3.8940346436216666</v>
      </c>
      <c r="G656" s="99"/>
      <c r="H656" s="39" t="s">
        <v>1859</v>
      </c>
      <c r="K656" s="116">
        <v>1.2469344834607813E-11</v>
      </c>
      <c r="L656" s="120">
        <v>1959.5584961864263</v>
      </c>
      <c r="M656" s="118"/>
      <c r="N656" s="116"/>
      <c r="O656" s="120"/>
      <c r="P656" s="118"/>
      <c r="Q656" s="117"/>
      <c r="R656" s="136"/>
      <c r="S656" s="40">
        <f>IF(OR(H656="T",H656="C"),T656,IF(H656="F",(V656/(1+(V656/T656)))*Q656^(1/(1+(LOG10(V656/T656)^2))),IF(H656="S1",T656+V656,"")))</f>
        <v>1.8159009777456006E-14</v>
      </c>
      <c r="T656" s="40">
        <f aca="true" t="shared" si="46" ref="T656:T678">K656*EXP(-L656/T$4)*((T$4/300)^M656)</f>
        <v>1.8159009777456006E-14</v>
      </c>
      <c r="U656" s="15">
        <f>L656*Rfac</f>
        <v>3.8940346436216666</v>
      </c>
      <c r="V656" s="116"/>
      <c r="W656" s="116"/>
      <c r="X656" s="117"/>
      <c r="Y656" s="117"/>
    </row>
    <row r="657" spans="2:25" ht="15">
      <c r="B657" s="49" t="s">
        <v>1158</v>
      </c>
      <c r="C657" s="14" t="s">
        <v>1159</v>
      </c>
      <c r="D657" s="100">
        <f>IF(OR(H657="T",H657="C"),S657,H657)</f>
        <v>7.897503346135495E-13</v>
      </c>
      <c r="E657" s="100">
        <f t="shared" si="45"/>
        <v>1.7E-12</v>
      </c>
      <c r="F657" s="101">
        <f>IF(H657="C","",U657)</f>
        <v>0.457056</v>
      </c>
      <c r="G657" s="99"/>
      <c r="H657" s="39" t="s">
        <v>1859</v>
      </c>
      <c r="K657" s="116">
        <v>1.7E-12</v>
      </c>
      <c r="L657" s="120">
        <v>230</v>
      </c>
      <c r="M657" s="118"/>
      <c r="N657" s="116"/>
      <c r="O657" s="120"/>
      <c r="P657" s="118"/>
      <c r="Q657" s="117"/>
      <c r="R657" s="136"/>
      <c r="S657" s="40">
        <f>IF(OR(H657="T",H657="C"),T657,IF(H657="F",(V657/(1+(V657/T657)))*Q657^(1/(1+(LOG10(V657/T657)^2))),IF(H657="S1",T657+V657,"")))</f>
        <v>7.897503346135495E-13</v>
      </c>
      <c r="T657" s="40">
        <f t="shared" si="46"/>
        <v>7.897503346135495E-13</v>
      </c>
      <c r="U657" s="15">
        <f>L657*Rfac</f>
        <v>0.457056</v>
      </c>
      <c r="V657" s="116"/>
      <c r="W657" s="116"/>
      <c r="X657" s="117"/>
      <c r="Y657" s="117"/>
    </row>
    <row r="658" spans="2:25" ht="15">
      <c r="B658" s="49" t="s">
        <v>1160</v>
      </c>
      <c r="C658" s="14" t="s">
        <v>1161</v>
      </c>
      <c r="D658" s="100">
        <f>IF(OR(H658="T",H658="C"),S658,H658)</f>
        <v>1.766026013258508E-14</v>
      </c>
      <c r="E658" s="100">
        <f t="shared" si="45"/>
        <v>3.9E-11</v>
      </c>
      <c r="F658" s="101">
        <f>IF(H658="C","",U658)</f>
        <v>4.590432000000001</v>
      </c>
      <c r="G658" s="101">
        <f aca="true" t="shared" si="47" ref="G658:G664">IF(M658=0,"",M658)</f>
      </c>
      <c r="H658" s="39" t="s">
        <v>1859</v>
      </c>
      <c r="K658" s="116">
        <v>3.9E-11</v>
      </c>
      <c r="L658" s="120">
        <v>2310</v>
      </c>
      <c r="M658" s="118"/>
      <c r="N658" s="116"/>
      <c r="O658" s="120"/>
      <c r="P658" s="118"/>
      <c r="Q658" s="117"/>
      <c r="R658" s="136"/>
      <c r="S658" s="40">
        <f>IF(OR(H658="T",H658="C"),T658,IF(H658="F",(V658/(1+(V658/T658)))*Q658^(1/(1+(LOG10(V658/T658)^2))),IF(H658="S1",T658+V658,"")))</f>
        <v>1.766026013258508E-14</v>
      </c>
      <c r="T658" s="40">
        <f t="shared" si="46"/>
        <v>1.766026013258508E-14</v>
      </c>
      <c r="U658" s="15">
        <f>L658*Rfac</f>
        <v>4.590432000000001</v>
      </c>
      <c r="V658" s="116"/>
      <c r="W658" s="116"/>
      <c r="X658" s="117"/>
      <c r="Y658" s="117"/>
    </row>
    <row r="659" spans="1:25" ht="15">
      <c r="A659" s="13" t="s">
        <v>1162</v>
      </c>
      <c r="D659" s="95"/>
      <c r="E659" s="95"/>
      <c r="F659" s="96"/>
      <c r="G659" s="96"/>
      <c r="K659" s="116"/>
      <c r="L659" s="120"/>
      <c r="M659" s="118"/>
      <c r="N659" s="116"/>
      <c r="O659" s="120"/>
      <c r="P659" s="118"/>
      <c r="Q659" s="117"/>
      <c r="R659" s="136"/>
      <c r="S659" s="40"/>
      <c r="T659" s="40"/>
      <c r="U659" s="15"/>
      <c r="V659" s="116"/>
      <c r="W659" s="116"/>
      <c r="X659" s="117"/>
      <c r="Y659" s="117"/>
    </row>
    <row r="660" spans="2:25" ht="15">
      <c r="B660" s="49" t="s">
        <v>1163</v>
      </c>
      <c r="C660" s="14" t="s">
        <v>1164</v>
      </c>
      <c r="D660" s="100">
        <f aca="true" t="shared" si="48" ref="D660:D678">IF(OR(H660="T",H660="C"),S660,H660)</f>
        <v>7.329183086091272E-11</v>
      </c>
      <c r="E660" s="100">
        <f t="shared" si="45"/>
        <v>8.1E-11</v>
      </c>
      <c r="F660" s="101">
        <f>IF(H660="C","",U660)</f>
        <v>0.059616</v>
      </c>
      <c r="G660" s="101">
        <f t="shared" si="47"/>
      </c>
      <c r="H660" s="39" t="s">
        <v>1859</v>
      </c>
      <c r="K660" s="116">
        <v>8.1E-11</v>
      </c>
      <c r="L660" s="120">
        <v>30</v>
      </c>
      <c r="M660" s="118"/>
      <c r="N660" s="116"/>
      <c r="O660" s="120"/>
      <c r="P660" s="118"/>
      <c r="Q660" s="117"/>
      <c r="R660" s="136"/>
      <c r="S660" s="40">
        <f>IF(OR(H660="T",H660="C"),T660,IF(H660="F",(V660/(1+(V660/T660)))*Q660^(1/(1+(LOG10(V660/T660)^2))),IF(H660="S1",T660+V660,"")))</f>
        <v>7.329183086091272E-11</v>
      </c>
      <c r="T660" s="40">
        <f t="shared" si="46"/>
        <v>7.329183086091272E-11</v>
      </c>
      <c r="U660" s="15">
        <f>L660*Rfac</f>
        <v>0.059616</v>
      </c>
      <c r="V660" s="116"/>
      <c r="W660" s="116"/>
      <c r="X660" s="117"/>
      <c r="Y660" s="117"/>
    </row>
    <row r="661" spans="2:25" ht="15">
      <c r="B661" s="49" t="s">
        <v>1165</v>
      </c>
      <c r="C661" s="14" t="s">
        <v>1166</v>
      </c>
      <c r="D661" s="100">
        <f t="shared" si="48"/>
        <v>8E-11</v>
      </c>
      <c r="E661" s="100">
        <f t="shared" si="45"/>
        <v>8E-11</v>
      </c>
      <c r="F661" s="101">
        <f>IF(H661="C","",U661)</f>
      </c>
      <c r="G661" s="101">
        <f t="shared" si="47"/>
      </c>
      <c r="H661" s="39" t="s">
        <v>1851</v>
      </c>
      <c r="K661" s="116">
        <v>8E-11</v>
      </c>
      <c r="L661" s="120"/>
      <c r="M661" s="118"/>
      <c r="N661" s="116"/>
      <c r="O661" s="120"/>
      <c r="P661" s="118"/>
      <c r="Q661" s="117"/>
      <c r="R661" s="136"/>
      <c r="S661" s="40">
        <f>IF(OR(H661="T",H661="C"),T661,IF(H661="F",(V661/(1+(V661/T661)))*Q661^(1/(1+(LOG10(V661/T661)^2))),IF(H661="S1",T661+V661,IF(H661="S2",T661+(V661/(1+(V661/T664))),""))))</f>
        <v>8E-11</v>
      </c>
      <c r="T661" s="40">
        <f t="shared" si="46"/>
        <v>8E-11</v>
      </c>
      <c r="U661" s="117"/>
      <c r="V661" s="116"/>
      <c r="W661" s="116"/>
      <c r="X661" s="117"/>
      <c r="Y661" s="117"/>
    </row>
    <row r="662" spans="2:25" ht="15">
      <c r="B662" s="49" t="s">
        <v>1167</v>
      </c>
      <c r="C662" s="14" t="s">
        <v>1168</v>
      </c>
      <c r="D662" s="100">
        <f t="shared" si="48"/>
        <v>5.5E-11</v>
      </c>
      <c r="E662" s="100">
        <f>K662</f>
        <v>5.5E-11</v>
      </c>
      <c r="F662" s="101">
        <f>IF(H662="C","",U662)</f>
        <v>0</v>
      </c>
      <c r="G662" s="96"/>
      <c r="H662" s="39" t="s">
        <v>1859</v>
      </c>
      <c r="K662" s="116">
        <v>5.5E-11</v>
      </c>
      <c r="L662" s="120">
        <v>0</v>
      </c>
      <c r="M662" s="118"/>
      <c r="N662" s="116"/>
      <c r="O662" s="120"/>
      <c r="P662" s="118"/>
      <c r="Q662" s="117"/>
      <c r="R662" s="136"/>
      <c r="S662" s="40">
        <f>IF(OR(H662="T",H662="C"),T662,IF(H662="F",(V662/(1+(V662/T662)))*Q662^(1/(1+(LOG10(V662/T662)^2))),IF(H662="S1",T662+V662,"")))</f>
        <v>5.5E-11</v>
      </c>
      <c r="T662" s="40">
        <f>K662*EXP(-L662/T$4)*((T$4/300)^M662)</f>
        <v>5.5E-11</v>
      </c>
      <c r="U662" s="15">
        <f>L662*Rfac</f>
        <v>0</v>
      </c>
      <c r="V662" s="116"/>
      <c r="W662" s="116"/>
      <c r="X662" s="117"/>
      <c r="Y662" s="117"/>
    </row>
    <row r="663" spans="2:25" ht="25.5">
      <c r="B663" s="49" t="s">
        <v>1169</v>
      </c>
      <c r="C663" s="14" t="s">
        <v>1170</v>
      </c>
      <c r="D663" s="100">
        <f t="shared" si="48"/>
        <v>1.23E-10</v>
      </c>
      <c r="E663" s="95"/>
      <c r="F663" s="101">
        <f>IF(H663="C","",U663)</f>
      </c>
      <c r="G663" s="101">
        <f t="shared" si="47"/>
      </c>
      <c r="H663" s="39" t="s">
        <v>1851</v>
      </c>
      <c r="K663" s="116">
        <v>1.23E-10</v>
      </c>
      <c r="L663" s="120"/>
      <c r="M663" s="118"/>
      <c r="N663" s="116"/>
      <c r="O663" s="120"/>
      <c r="P663" s="118"/>
      <c r="Q663" s="117"/>
      <c r="R663" s="136"/>
      <c r="S663" s="40">
        <f>IF(OR(H663="T",H663="C"),T663,IF(H663="F",(V663/(1+(V663/T663)))*Q663^(1/(1+(LOG10(V663/T663)^2))),IF(H663="S1",T663+V663,IF(H663="S2",T663+(V663/(1+(V663/#REF!))),""))))</f>
        <v>1.23E-10</v>
      </c>
      <c r="T663" s="40">
        <f t="shared" si="46"/>
        <v>1.23E-10</v>
      </c>
      <c r="U663" s="117"/>
      <c r="V663" s="116"/>
      <c r="W663" s="116"/>
      <c r="X663" s="117"/>
      <c r="Y663" s="117"/>
    </row>
    <row r="664" spans="2:25" ht="25.5">
      <c r="B664" s="49" t="s">
        <v>1171</v>
      </c>
      <c r="C664" s="14" t="s">
        <v>1172</v>
      </c>
      <c r="D664" s="100">
        <f t="shared" si="48"/>
        <v>2.7468974877384345E-12</v>
      </c>
      <c r="E664" s="100">
        <f t="shared" si="45"/>
        <v>7.7E-11</v>
      </c>
      <c r="F664" s="101">
        <f>IF(H664="C","",U664)</f>
        <v>1.9872</v>
      </c>
      <c r="G664" s="101">
        <f t="shared" si="47"/>
      </c>
      <c r="H664" s="39" t="s">
        <v>1859</v>
      </c>
      <c r="K664" s="116">
        <v>7.7E-11</v>
      </c>
      <c r="L664" s="120">
        <v>1000</v>
      </c>
      <c r="M664" s="118"/>
      <c r="N664" s="116"/>
      <c r="O664" s="120"/>
      <c r="P664" s="118"/>
      <c r="Q664" s="117"/>
      <c r="R664" s="136"/>
      <c r="S664" s="40">
        <f>IF(OR(H664="T",H664="C"),T664,IF(H664="F",(V664/(1+(V664/T664)))*Q664^(1/(1+(LOG10(V664/T664)^2))),IF(H664="S1",T664+V664,"")))</f>
        <v>2.7468974877384345E-12</v>
      </c>
      <c r="T664" s="40">
        <f t="shared" si="46"/>
        <v>2.7468974877384345E-12</v>
      </c>
      <c r="U664" s="15">
        <f>L664*Rfac</f>
        <v>1.9872</v>
      </c>
      <c r="V664" s="116"/>
      <c r="W664" s="116"/>
      <c r="X664" s="117"/>
      <c r="Y664" s="117"/>
    </row>
    <row r="665" spans="2:25" ht="63.75">
      <c r="B665" s="49" t="s">
        <v>1173</v>
      </c>
      <c r="C665" s="14" t="s">
        <v>1174</v>
      </c>
      <c r="D665" s="100">
        <f t="shared" si="48"/>
        <v>3.6E-11</v>
      </c>
      <c r="E665" s="95"/>
      <c r="F665" s="96"/>
      <c r="G665" s="96"/>
      <c r="H665" s="39" t="s">
        <v>1851</v>
      </c>
      <c r="K665" s="116">
        <v>3.6E-11</v>
      </c>
      <c r="L665" s="120"/>
      <c r="M665" s="118"/>
      <c r="N665" s="116"/>
      <c r="O665" s="120"/>
      <c r="P665" s="118"/>
      <c r="Q665" s="117"/>
      <c r="R665" s="136"/>
      <c r="S665" s="40">
        <f>IF(OR(H665="T",H665="C"),T665,IF(H665="F",(V665/(1+(V665/T665)))*Q665^(1/(1+(LOG10(V665/T665)^2))),IF(H665="S1",T665+V665,IF(H665="S2",T665+(V665/(1+(V665/T668))),""))))</f>
        <v>3.6E-11</v>
      </c>
      <c r="T665" s="40">
        <f t="shared" si="46"/>
        <v>3.6E-11</v>
      </c>
      <c r="U665" s="117"/>
      <c r="V665" s="116"/>
      <c r="W665" s="116"/>
      <c r="X665" s="117"/>
      <c r="Y665" s="117"/>
    </row>
    <row r="666" spans="2:25" ht="102">
      <c r="B666" s="49" t="s">
        <v>1175</v>
      </c>
      <c r="C666" s="14" t="s">
        <v>1176</v>
      </c>
      <c r="D666" s="100">
        <f t="shared" si="48"/>
        <v>1.922927864339597E-10</v>
      </c>
      <c r="E666" s="95"/>
      <c r="F666" s="96"/>
      <c r="G666" s="96"/>
      <c r="H666" s="39" t="s">
        <v>1851</v>
      </c>
      <c r="K666" s="116">
        <v>1.922927864339597E-10</v>
      </c>
      <c r="L666" s="120"/>
      <c r="M666" s="118"/>
      <c r="N666" s="116"/>
      <c r="O666" s="120"/>
      <c r="P666" s="118"/>
      <c r="Q666" s="117"/>
      <c r="R666" s="136"/>
      <c r="S666" s="40">
        <f>IF(OR(H666="T",H666="C"),T666,IF(H666="F",(V666/(1+(V666/T666)))*Q666^(1/(1+(LOG10(V666/T666)^2))),IF(H666="S1",T666+V666,IF(H666="S2",T666+(V666/(1+(V666/T669))),""))))</f>
        <v>1.922927864339597E-10</v>
      </c>
      <c r="T666" s="40">
        <f t="shared" si="46"/>
        <v>1.922927864339597E-10</v>
      </c>
      <c r="U666" s="117"/>
      <c r="V666" s="116"/>
      <c r="W666" s="116"/>
      <c r="X666" s="117"/>
      <c r="Y666" s="117"/>
    </row>
    <row r="667" spans="2:25" ht="89.25">
      <c r="B667" s="49" t="s">
        <v>1177</v>
      </c>
      <c r="C667" s="14" t="s">
        <v>1178</v>
      </c>
      <c r="D667" s="100">
        <f t="shared" si="48"/>
        <v>2.004504530661066E-10</v>
      </c>
      <c r="E667" s="95"/>
      <c r="F667" s="96"/>
      <c r="G667" s="96"/>
      <c r="H667" s="39" t="s">
        <v>1851</v>
      </c>
      <c r="K667" s="116">
        <v>2.004504530661066E-10</v>
      </c>
      <c r="L667" s="120"/>
      <c r="M667" s="118"/>
      <c r="N667" s="116"/>
      <c r="O667" s="120"/>
      <c r="P667" s="118"/>
      <c r="Q667" s="117"/>
      <c r="R667" s="136"/>
      <c r="S667" s="40">
        <f>IF(OR(H667="T",H667="C"),T667,IF(H667="F",(V667/(1+(V667/T667)))*Q667^(1/(1+(LOG10(V667/T667)^2))),IF(H667="S1",T667+V667,IF(H667="S2",T667+(V667/(1+(V667/T670))),""))))</f>
        <v>2.004504530661066E-10</v>
      </c>
      <c r="T667" s="40">
        <f>K667*EXP(-L667/T$4)*((T$4/300)^M667)</f>
        <v>2.004504530661066E-10</v>
      </c>
      <c r="U667" s="117"/>
      <c r="V667" s="116"/>
      <c r="W667" s="116"/>
      <c r="X667" s="117"/>
      <c r="Y667" s="117"/>
    </row>
    <row r="668" spans="2:25" ht="25.5">
      <c r="B668" s="49" t="s">
        <v>1179</v>
      </c>
      <c r="C668" s="14" t="s">
        <v>1180</v>
      </c>
      <c r="D668" s="100">
        <f t="shared" si="48"/>
        <v>7.329183086091272E-11</v>
      </c>
      <c r="E668" s="100">
        <f aca="true" t="shared" si="49" ref="E668:E678">IF(H668="C","",K668)</f>
        <v>8.1E-11</v>
      </c>
      <c r="F668" s="101">
        <f>IF(H668="C","",U668)</f>
        <v>0.059616</v>
      </c>
      <c r="G668" s="101">
        <f>IF(M668=0,"",M668)</f>
      </c>
      <c r="H668" s="39" t="s">
        <v>1859</v>
      </c>
      <c r="K668" s="116">
        <v>8.1E-11</v>
      </c>
      <c r="L668" s="120">
        <v>30</v>
      </c>
      <c r="M668" s="118"/>
      <c r="N668" s="116"/>
      <c r="O668" s="120"/>
      <c r="P668" s="118"/>
      <c r="Q668" s="117"/>
      <c r="R668" s="136"/>
      <c r="S668" s="40">
        <f>IF(OR(H668="T",H668="C"),T668,IF(H668="F",(V668/(1+(V668/T668)))*Q668^(1/(1+(LOG10(V668/T668)^2))),IF(H668="S1",T668+V668,IF(H668="S2",T668+(V668/(1+(V668/#REF!))),""))))</f>
        <v>7.329183086091272E-11</v>
      </c>
      <c r="T668" s="40">
        <f t="shared" si="46"/>
        <v>7.329183086091272E-11</v>
      </c>
      <c r="U668" s="15">
        <f>L668*Rfac</f>
        <v>0.059616</v>
      </c>
      <c r="V668" s="116"/>
      <c r="W668" s="116"/>
      <c r="X668" s="117"/>
      <c r="Y668" s="117"/>
    </row>
    <row r="669" spans="2:25" ht="15">
      <c r="B669" s="49" t="s">
        <v>1181</v>
      </c>
      <c r="C669" s="14" t="s">
        <v>1182</v>
      </c>
      <c r="D669" s="100">
        <f t="shared" si="48"/>
        <v>8E-11</v>
      </c>
      <c r="E669" s="100">
        <f t="shared" si="49"/>
      </c>
      <c r="F669" s="101">
        <f>IF(H669="C","",U669)</f>
      </c>
      <c r="G669" s="101">
        <f aca="true" t="shared" si="50" ref="G669:G678">IF(M669=0,"",M669)</f>
      </c>
      <c r="H669" s="39" t="s">
        <v>1851</v>
      </c>
      <c r="K669" s="116">
        <v>8E-11</v>
      </c>
      <c r="L669" s="120"/>
      <c r="M669" s="118"/>
      <c r="N669" s="116"/>
      <c r="O669" s="120"/>
      <c r="P669" s="118"/>
      <c r="Q669" s="117"/>
      <c r="R669" s="136"/>
      <c r="S669" s="40">
        <f>IF(OR(H669="T",H669="C"),T669,IF(H669="F",(V669/(1+(V669/T669)))*Q669^(1/(1+(LOG10(V669/T669)^2))),IF(H669="S1",T669+V669,IF(H669="S2",T669+(V669/(1+(V669/#REF!))),""))))</f>
        <v>8E-11</v>
      </c>
      <c r="T669" s="40">
        <f t="shared" si="46"/>
        <v>8E-11</v>
      </c>
      <c r="U669" s="15">
        <f aca="true" t="shared" si="51" ref="U669:U678">L669*Rfac</f>
        <v>0</v>
      </c>
      <c r="V669" s="116"/>
      <c r="W669" s="116"/>
      <c r="X669" s="117"/>
      <c r="Y669" s="117"/>
    </row>
    <row r="670" spans="2:25" ht="25.5">
      <c r="B670" s="49" t="s">
        <v>1183</v>
      </c>
      <c r="C670" s="14" t="s">
        <v>1184</v>
      </c>
      <c r="D670" s="100">
        <f t="shared" si="48"/>
        <v>6.2E-11</v>
      </c>
      <c r="E670" s="100">
        <f t="shared" si="49"/>
      </c>
      <c r="F670" s="101">
        <f>IF(H670="C","",U670)</f>
      </c>
      <c r="G670" s="101">
        <f t="shared" si="50"/>
      </c>
      <c r="H670" s="39" t="s">
        <v>1851</v>
      </c>
      <c r="K670" s="116">
        <v>6.2E-11</v>
      </c>
      <c r="L670" s="120"/>
      <c r="M670" s="118"/>
      <c r="N670" s="116"/>
      <c r="O670" s="120"/>
      <c r="P670" s="118"/>
      <c r="Q670" s="117"/>
      <c r="R670" s="136"/>
      <c r="S670" s="40">
        <f>IF(OR(H670="T",H670="C"),T670,IF(H670="F",(V670/(1+(V670/T670)))*Q670^(1/(1+(LOG10(V670/T670)^2))),IF(H670="S1",T670+V670,IF(H670="S2",T670+(V670/(1+(V670/#REF!))),""))))</f>
        <v>6.2E-11</v>
      </c>
      <c r="T670" s="40">
        <f t="shared" si="46"/>
        <v>6.2E-11</v>
      </c>
      <c r="U670" s="15">
        <f t="shared" si="51"/>
        <v>0</v>
      </c>
      <c r="V670" s="116"/>
      <c r="W670" s="116"/>
      <c r="X670" s="117"/>
      <c r="Y670" s="117"/>
    </row>
    <row r="671" spans="2:25" ht="15">
      <c r="B671" s="49" t="s">
        <v>1185</v>
      </c>
      <c r="C671" s="14" t="s">
        <v>1186</v>
      </c>
      <c r="D671" s="100">
        <f t="shared" si="48"/>
        <v>8E-11</v>
      </c>
      <c r="E671" s="100">
        <f t="shared" si="49"/>
      </c>
      <c r="F671" s="101">
        <f>IF(H671="C","",U671)</f>
      </c>
      <c r="G671" s="101">
        <f t="shared" si="50"/>
      </c>
      <c r="H671" s="39" t="s">
        <v>1851</v>
      </c>
      <c r="K671" s="116">
        <v>8E-11</v>
      </c>
      <c r="L671" s="120"/>
      <c r="M671" s="118"/>
      <c r="N671" s="116"/>
      <c r="O671" s="120"/>
      <c r="P671" s="118"/>
      <c r="Q671" s="117"/>
      <c r="R671" s="136"/>
      <c r="S671" s="40">
        <f>IF(OR(H671="T",H671="C"),T671,IF(H671="F",(V671/(1+(V671/T671)))*Q671^(1/(1+(LOG10(V671/T671)^2))),IF(H671="S1",T671+V671,IF(H671="S2",T671+(V671/(1+(V671/#REF!))),""))))</f>
        <v>8E-11</v>
      </c>
      <c r="T671" s="40">
        <f t="shared" si="46"/>
        <v>8E-11</v>
      </c>
      <c r="U671" s="15">
        <f t="shared" si="51"/>
        <v>0</v>
      </c>
      <c r="V671" s="116"/>
      <c r="W671" s="116"/>
      <c r="X671" s="117"/>
      <c r="Y671" s="117"/>
    </row>
    <row r="672" spans="2:25" ht="63.75">
      <c r="B672" s="49" t="s">
        <v>1187</v>
      </c>
      <c r="C672" s="14" t="s">
        <v>1281</v>
      </c>
      <c r="D672" s="100">
        <f t="shared" si="48"/>
        <v>1.66E-10</v>
      </c>
      <c r="E672" s="100">
        <f t="shared" si="49"/>
      </c>
      <c r="F672" s="101">
        <f>IF(H672="C","",U672)</f>
      </c>
      <c r="G672" s="101">
        <f t="shared" si="50"/>
      </c>
      <c r="H672" s="39" t="s">
        <v>1851</v>
      </c>
      <c r="K672" s="116">
        <v>1.66E-10</v>
      </c>
      <c r="L672" s="120"/>
      <c r="M672" s="118"/>
      <c r="N672" s="116"/>
      <c r="O672" s="120"/>
      <c r="P672" s="118"/>
      <c r="Q672" s="117"/>
      <c r="R672" s="136"/>
      <c r="S672" s="40">
        <f>IF(OR(H672="T",H672="C"),T672,IF(H672="F",(V672/(1+(V672/T672)))*Q672^(1/(1+(LOG10(V672/T672)^2))),IF(H672="S1",T672+V672,IF(H672="S2",T672+(V672/(1+(V672/#REF!))),""))))</f>
        <v>1.66E-10</v>
      </c>
      <c r="T672" s="40">
        <f t="shared" si="46"/>
        <v>1.66E-10</v>
      </c>
      <c r="U672" s="15">
        <f t="shared" si="51"/>
        <v>0</v>
      </c>
      <c r="V672" s="116"/>
      <c r="W672" s="116"/>
      <c r="X672" s="117"/>
      <c r="Y672" s="117"/>
    </row>
    <row r="673" spans="2:25" ht="63.75">
      <c r="B673" s="49" t="s">
        <v>1282</v>
      </c>
      <c r="C673" s="14" t="s">
        <v>1283</v>
      </c>
      <c r="D673" s="100">
        <f t="shared" si="48"/>
        <v>3E-10</v>
      </c>
      <c r="E673" s="100">
        <f t="shared" si="49"/>
      </c>
      <c r="F673" s="101"/>
      <c r="G673" s="101"/>
      <c r="H673" s="39" t="s">
        <v>1851</v>
      </c>
      <c r="K673" s="116">
        <v>3E-10</v>
      </c>
      <c r="L673" s="120"/>
      <c r="M673" s="118"/>
      <c r="N673" s="116"/>
      <c r="O673" s="120"/>
      <c r="P673" s="118"/>
      <c r="Q673" s="117"/>
      <c r="R673" s="136"/>
      <c r="S673" s="40">
        <f>IF(OR(H673="T",H673="C"),T673,IF(H673="F",(V673/(1+(V673/T673)))*Q673^(1/(1+(LOG10(V673/T673)^2))),IF(H673="S1",T673+V673,IF(H673="S2",T673+(V673/(1+(V673/#REF!))),""))))</f>
        <v>3E-10</v>
      </c>
      <c r="T673" s="40">
        <f t="shared" si="46"/>
        <v>3E-10</v>
      </c>
      <c r="U673" s="15"/>
      <c r="V673" s="116"/>
      <c r="W673" s="116"/>
      <c r="X673" s="117"/>
      <c r="Y673" s="117"/>
    </row>
    <row r="674" spans="2:25" ht="89.25">
      <c r="B674" s="49" t="s">
        <v>1284</v>
      </c>
      <c r="C674" s="14" t="s">
        <v>1052</v>
      </c>
      <c r="D674" s="100">
        <f t="shared" si="48"/>
        <v>4.29E-10</v>
      </c>
      <c r="E674" s="100">
        <f t="shared" si="49"/>
      </c>
      <c r="F674" s="101"/>
      <c r="G674" s="101"/>
      <c r="H674" s="39" t="s">
        <v>1851</v>
      </c>
      <c r="K674" s="116">
        <v>4.29E-10</v>
      </c>
      <c r="L674" s="120"/>
      <c r="M674" s="118"/>
      <c r="N674" s="116"/>
      <c r="O674" s="120"/>
      <c r="P674" s="118"/>
      <c r="Q674" s="117"/>
      <c r="R674" s="136"/>
      <c r="S674" s="40">
        <f>IF(OR(H674="T",H674="C"),T674,IF(H674="F",(V674/(1+(V674/T674)))*Q674^(1/(1+(LOG10(V674/T674)^2))),IF(H674="S1",T674+V674,IF(H674="S2",T674+(V674/(1+(V674/#REF!))),""))))</f>
        <v>4.29E-10</v>
      </c>
      <c r="T674" s="40">
        <f t="shared" si="46"/>
        <v>4.29E-10</v>
      </c>
      <c r="U674" s="15"/>
      <c r="V674" s="116"/>
      <c r="W674" s="116"/>
      <c r="X674" s="117"/>
      <c r="Y674" s="117"/>
    </row>
    <row r="675" spans="2:25" ht="63.75">
      <c r="B675" s="141" t="s">
        <v>603</v>
      </c>
      <c r="C675" s="14" t="s">
        <v>1020</v>
      </c>
      <c r="D675" s="100">
        <f>IF(OR(H675="T",H675="C"),S675,H675)</f>
        <v>2.940314679093E-10</v>
      </c>
      <c r="E675" s="100">
        <f>IF(H675="C","",K675)</f>
      </c>
      <c r="F675" s="101">
        <f>IF(H675="C","",U675)</f>
      </c>
      <c r="G675" s="99"/>
      <c r="H675" s="39" t="s">
        <v>1851</v>
      </c>
      <c r="K675" s="116">
        <v>2.940314679093E-10</v>
      </c>
      <c r="L675" s="120"/>
      <c r="M675" s="118"/>
      <c r="N675" s="116"/>
      <c r="O675" s="120"/>
      <c r="P675" s="118"/>
      <c r="Q675" s="117"/>
      <c r="R675" s="136"/>
      <c r="S675" s="40">
        <f>IF(OR(H675="T",H675="C"),T675,IF(H675="F",(V675/(1+(V675/T675)))*Q675^(1/(1+(LOG10(V675/T675)^2))),IF(H675="S1",T675+V675,IF(H675="S2",T675+(V675/(1+(V675/#REF!))),""))))</f>
        <v>2.940314679093E-10</v>
      </c>
      <c r="T675" s="40">
        <f>K675*EXP(-L675/T$4)*((T$4/300)^M675)</f>
        <v>2.940314679093E-10</v>
      </c>
      <c r="U675" s="15">
        <f>L675*Rfac</f>
        <v>0</v>
      </c>
      <c r="V675" s="40"/>
      <c r="W675" s="40"/>
      <c r="X675" s="15"/>
      <c r="Y675" s="15"/>
    </row>
    <row r="676" spans="2:25" ht="63.75">
      <c r="B676" s="141" t="s">
        <v>1285</v>
      </c>
      <c r="C676" s="14" t="s">
        <v>1286</v>
      </c>
      <c r="D676" s="100">
        <f t="shared" si="48"/>
        <v>3.85E-10</v>
      </c>
      <c r="E676" s="100">
        <f t="shared" si="49"/>
      </c>
      <c r="F676" s="101">
        <f>IF(H676="C","",U676)</f>
      </c>
      <c r="G676" s="101">
        <f t="shared" si="50"/>
      </c>
      <c r="H676" s="39" t="s">
        <v>1851</v>
      </c>
      <c r="K676" s="116">
        <v>3.85E-10</v>
      </c>
      <c r="L676" s="120"/>
      <c r="M676" s="118"/>
      <c r="N676" s="116"/>
      <c r="O676" s="120"/>
      <c r="P676" s="118"/>
      <c r="Q676" s="117"/>
      <c r="R676" s="136"/>
      <c r="S676" s="40">
        <f>IF(OR(H676="T",H676="C"),T676,IF(H676="F",(V676/(1+(V676/T676)))*Q676^(1/(1+(LOG10(V676/T676)^2))),IF(H676="S1",T676+V676,IF(H676="S2",T676+(V676/(1+(V676/#REF!))),""))))</f>
        <v>3.85E-10</v>
      </c>
      <c r="T676" s="40">
        <f t="shared" si="46"/>
        <v>3.85E-10</v>
      </c>
      <c r="U676" s="15">
        <f t="shared" si="51"/>
        <v>0</v>
      </c>
      <c r="V676" s="116"/>
      <c r="W676" s="116"/>
      <c r="X676" s="117"/>
      <c r="Y676" s="117"/>
    </row>
    <row r="677" spans="2:25" ht="38.25">
      <c r="B677" s="141" t="s">
        <v>1287</v>
      </c>
      <c r="C677" s="14" t="s">
        <v>1288</v>
      </c>
      <c r="D677" s="100">
        <f t="shared" si="48"/>
        <v>2.32E-10</v>
      </c>
      <c r="E677" s="100">
        <f t="shared" si="49"/>
      </c>
      <c r="F677" s="101">
        <f>IF(H677="C","",U677)</f>
      </c>
      <c r="G677" s="101">
        <f t="shared" si="50"/>
      </c>
      <c r="H677" s="39" t="s">
        <v>1851</v>
      </c>
      <c r="K677" s="116">
        <v>2.32E-10</v>
      </c>
      <c r="L677" s="120"/>
      <c r="M677" s="118"/>
      <c r="N677" s="116"/>
      <c r="O677" s="120"/>
      <c r="P677" s="118"/>
      <c r="Q677" s="117"/>
      <c r="R677" s="136"/>
      <c r="S677" s="40">
        <f>IF(OR(H677="T",H677="C"),T677,IF(H677="F",(V677/(1+(V677/T677)))*Q677^(1/(1+(LOG10(V677/T677)^2))),IF(H677="S1",T677+V677,IF(H677="S2",T677+(V677/(1+(V677/#REF!))),""))))</f>
        <v>2.32E-10</v>
      </c>
      <c r="T677" s="40">
        <f t="shared" si="46"/>
        <v>2.32E-10</v>
      </c>
      <c r="U677" s="15">
        <f t="shared" si="51"/>
        <v>0</v>
      </c>
      <c r="V677" s="116"/>
      <c r="W677" s="116"/>
      <c r="X677" s="117"/>
      <c r="Y677" s="117"/>
    </row>
    <row r="678" spans="2:25" ht="89.25">
      <c r="B678" s="141" t="s">
        <v>1289</v>
      </c>
      <c r="C678" s="14" t="s">
        <v>1290</v>
      </c>
      <c r="D678" s="100">
        <f t="shared" si="48"/>
        <v>4.12E-10</v>
      </c>
      <c r="E678" s="100">
        <f t="shared" si="49"/>
      </c>
      <c r="F678" s="101">
        <f>IF(H678="C","",U678)</f>
      </c>
      <c r="G678" s="101">
        <f t="shared" si="50"/>
      </c>
      <c r="H678" s="39" t="s">
        <v>1851</v>
      </c>
      <c r="K678" s="116">
        <v>4.12E-10</v>
      </c>
      <c r="L678" s="120"/>
      <c r="M678" s="118"/>
      <c r="N678" s="116"/>
      <c r="O678" s="120"/>
      <c r="P678" s="118"/>
      <c r="Q678" s="117"/>
      <c r="R678" s="136"/>
      <c r="S678" s="40">
        <f>IF(OR(H678="T",H678="C"),T678,IF(H678="F",(V678/(1+(V678/T678)))*Q678^(1/(1+(LOG10(V678/T678)^2))),IF(H678="S1",T678+V678,IF(H678="S2",T678+(V678/(1+(V678/#REF!))),""))))</f>
        <v>4.12E-10</v>
      </c>
      <c r="T678" s="40">
        <f t="shared" si="46"/>
        <v>4.12E-10</v>
      </c>
      <c r="U678" s="15">
        <f t="shared" si="51"/>
        <v>0</v>
      </c>
      <c r="V678" s="116"/>
      <c r="W678" s="116"/>
      <c r="X678" s="117"/>
      <c r="Y678" s="117"/>
    </row>
    <row r="679" spans="1:25" ht="15">
      <c r="A679" s="13" t="s">
        <v>1291</v>
      </c>
      <c r="D679" s="95"/>
      <c r="E679" s="95"/>
      <c r="F679" s="96"/>
      <c r="G679" s="96"/>
      <c r="J679" s="38"/>
      <c r="K679" s="109"/>
      <c r="L679" s="110"/>
      <c r="M679" s="111"/>
      <c r="N679" s="112"/>
      <c r="O679" s="111"/>
      <c r="P679" s="113"/>
      <c r="Q679" s="111"/>
      <c r="S679" s="40">
        <f>IF(OR(H679="T",H679="C"),T679,IF(H679="F",(V679/(1+(V679/T679)))*Q679^(1/(1+((LOG10(V679/T679)/R679)^2))),IF(H679="S1",T679+V679,IF(H679="S2",T679+(V679/(1+(V679/T716))),""))))</f>
      </c>
      <c r="T679" s="109"/>
      <c r="U679" s="111"/>
      <c r="V679" s="112"/>
      <c r="W679" s="112"/>
      <c r="X679" s="111"/>
      <c r="Y679" s="111"/>
    </row>
    <row r="680" spans="2:25" ht="25.5">
      <c r="B680" s="141" t="s">
        <v>1292</v>
      </c>
      <c r="C680" s="14" t="s">
        <v>1293</v>
      </c>
      <c r="D680" s="97" t="str">
        <f>IF(H680="P",CONCATENATE("Phot Set= ",I680,IF(J680=0,"",CONCATENATE(", qy= ",TEXT(J680,"0.0e+0")))),H680)</f>
        <v>Phot Set= CLCCHO</v>
      </c>
      <c r="E680" s="98"/>
      <c r="F680" s="98"/>
      <c r="G680" s="99"/>
      <c r="H680" s="39" t="s">
        <v>1856</v>
      </c>
      <c r="I680" s="49" t="s">
        <v>1809</v>
      </c>
      <c r="K680" s="116"/>
      <c r="L680" s="120"/>
      <c r="M680" s="118"/>
      <c r="N680" s="116"/>
      <c r="O680" s="120"/>
      <c r="P680" s="118"/>
      <c r="Q680" s="117"/>
      <c r="R680" s="117"/>
      <c r="S680" s="116"/>
      <c r="T680" s="116"/>
      <c r="U680" s="117"/>
      <c r="V680" s="116"/>
      <c r="W680" s="116"/>
      <c r="X680" s="117"/>
      <c r="Y680" s="117"/>
    </row>
    <row r="681" spans="2:25" ht="15">
      <c r="B681" s="141" t="s">
        <v>1294</v>
      </c>
      <c r="C681" s="14" t="s">
        <v>1295</v>
      </c>
      <c r="D681" s="100">
        <f>IF(OR(H681="T",H681="C"),S681,H681)</f>
        <v>3.1E-12</v>
      </c>
      <c r="E681" s="98"/>
      <c r="F681" s="98"/>
      <c r="G681" s="99"/>
      <c r="H681" s="39" t="s">
        <v>1851</v>
      </c>
      <c r="K681" s="116">
        <v>3.1E-12</v>
      </c>
      <c r="L681" s="120"/>
      <c r="M681" s="118"/>
      <c r="N681" s="116"/>
      <c r="O681" s="120"/>
      <c r="P681" s="118"/>
      <c r="Q681" s="117"/>
      <c r="R681" s="117"/>
      <c r="S681" s="40">
        <f>IF(OR(H681="T",H681="C"),T681,IF(H681="F",(V681/(1+(V681/T681)))*Q681^(1/(1+(LOG10(V681/T681)^2))),IF(H681="S1",T681+V681,"")))</f>
        <v>3.1E-12</v>
      </c>
      <c r="T681" s="40">
        <f>K681*EXP(-L681/T$4)*((T$4/300)^M681)</f>
        <v>3.1E-12</v>
      </c>
      <c r="U681" s="117"/>
      <c r="V681" s="116"/>
      <c r="W681" s="116"/>
      <c r="X681" s="117"/>
      <c r="Y681" s="117"/>
    </row>
    <row r="682" spans="2:25" ht="15">
      <c r="B682" s="141" t="s">
        <v>1296</v>
      </c>
      <c r="C682" s="14" t="s">
        <v>1297</v>
      </c>
      <c r="D682" s="100">
        <f>IF(OR(H682="T",H682="C"),S682,H682)</f>
        <v>1.29E-11</v>
      </c>
      <c r="E682" s="98"/>
      <c r="F682" s="98"/>
      <c r="G682" s="99"/>
      <c r="H682" s="39" t="s">
        <v>1851</v>
      </c>
      <c r="K682" s="116">
        <v>1.29E-11</v>
      </c>
      <c r="L682" s="120"/>
      <c r="M682" s="118"/>
      <c r="N682" s="116"/>
      <c r="O682" s="120"/>
      <c r="P682" s="118"/>
      <c r="Q682" s="117"/>
      <c r="R682" s="117"/>
      <c r="S682" s="40">
        <f>IF(OR(H682="T",H682="C"),T682,IF(H682="F",(V682/(1+(V682/T682)))*Q682^(1/(1+(LOG10(V682/T682)^2))),IF(H682="S1",T682+V682,"")))</f>
        <v>1.29E-11</v>
      </c>
      <c r="T682" s="40">
        <f>K682*EXP(-L682/T$4)*((T$4/300)^M682)</f>
        <v>1.29E-11</v>
      </c>
      <c r="U682" s="117"/>
      <c r="V682" s="116"/>
      <c r="W682" s="116"/>
      <c r="X682" s="117"/>
      <c r="Y682" s="117"/>
    </row>
    <row r="683" spans="2:25" ht="25.5">
      <c r="B683" s="141" t="s">
        <v>1298</v>
      </c>
      <c r="C683" s="14" t="s">
        <v>1299</v>
      </c>
      <c r="D683" s="97" t="str">
        <f>IF(H683="P",CONCATENATE("Phot Set= ",I683,IF(J683=0,"",CONCATENATE(", qy= ",TEXT(J683,"0.00")))),H683)</f>
        <v>Phot Set= CLACET, qy= 0.50</v>
      </c>
      <c r="E683" s="98"/>
      <c r="F683" s="98"/>
      <c r="G683" s="99"/>
      <c r="H683" s="39" t="s">
        <v>1856</v>
      </c>
      <c r="I683" s="49" t="s">
        <v>1811</v>
      </c>
      <c r="J683" s="18">
        <v>0.5</v>
      </c>
      <c r="K683" s="116"/>
      <c r="L683" s="120"/>
      <c r="M683" s="118"/>
      <c r="N683" s="116"/>
      <c r="O683" s="120"/>
      <c r="P683" s="118"/>
      <c r="Q683" s="117"/>
      <c r="R683" s="117"/>
      <c r="S683" s="40"/>
      <c r="T683" s="40"/>
      <c r="U683" s="117"/>
      <c r="V683" s="116"/>
      <c r="W683" s="116"/>
      <c r="X683" s="117"/>
      <c r="Y683" s="117"/>
    </row>
    <row r="684" spans="1:25" ht="15">
      <c r="A684" s="13" t="s">
        <v>1300</v>
      </c>
      <c r="D684" s="97"/>
      <c r="E684" s="98"/>
      <c r="F684" s="98"/>
      <c r="G684" s="99"/>
      <c r="K684" s="116"/>
      <c r="L684" s="120"/>
      <c r="M684" s="118"/>
      <c r="N684" s="116"/>
      <c r="O684" s="120"/>
      <c r="P684" s="118"/>
      <c r="Q684" s="117"/>
      <c r="R684" s="117"/>
      <c r="S684" s="40"/>
      <c r="T684" s="40"/>
      <c r="U684" s="117"/>
      <c r="V684" s="116"/>
      <c r="W684" s="116"/>
      <c r="X684" s="117"/>
      <c r="Y684" s="117"/>
    </row>
    <row r="685" spans="2:25" ht="15">
      <c r="B685" s="141" t="s">
        <v>1313</v>
      </c>
      <c r="C685" s="14" t="s">
        <v>1314</v>
      </c>
      <c r="D685" s="97" t="str">
        <f aca="true" t="shared" si="52" ref="D685:D714">IF(H685="QS",CONCATENATE("Same k as rxn ",I685),H685)</f>
        <v>Same k as rxn BR07</v>
      </c>
      <c r="E685" s="97"/>
      <c r="F685" s="97"/>
      <c r="G685" s="97"/>
      <c r="H685" s="39" t="s">
        <v>203</v>
      </c>
      <c r="I685" s="49" t="s">
        <v>44</v>
      </c>
      <c r="K685" s="116"/>
      <c r="L685" s="120"/>
      <c r="M685" s="117"/>
      <c r="N685" s="116"/>
      <c r="O685" s="117"/>
      <c r="P685" s="118"/>
      <c r="Q685" s="117"/>
      <c r="S685" s="40"/>
      <c r="T685" s="116"/>
      <c r="U685" s="117"/>
      <c r="V685" s="116"/>
      <c r="W685" s="116"/>
      <c r="X685" s="117"/>
      <c r="Y685" s="117"/>
    </row>
    <row r="686" spans="2:25" ht="15">
      <c r="B686" s="141" t="s">
        <v>1315</v>
      </c>
      <c r="C686" s="14" t="s">
        <v>1316</v>
      </c>
      <c r="D686" s="97" t="str">
        <f t="shared" si="52"/>
        <v>Same k as rxn BR08</v>
      </c>
      <c r="E686" s="97"/>
      <c r="F686" s="97"/>
      <c r="G686" s="97"/>
      <c r="H686" s="39" t="s">
        <v>203</v>
      </c>
      <c r="I686" s="49" t="s">
        <v>46</v>
      </c>
      <c r="K686" s="116"/>
      <c r="L686" s="120"/>
      <c r="M686" s="117"/>
      <c r="N686" s="116"/>
      <c r="O686" s="117"/>
      <c r="P686" s="118"/>
      <c r="Q686" s="117"/>
      <c r="S686" s="40"/>
      <c r="T686" s="116"/>
      <c r="U686" s="117"/>
      <c r="V686" s="116"/>
      <c r="W686" s="116"/>
      <c r="X686" s="117"/>
      <c r="Y686" s="117"/>
    </row>
    <row r="687" spans="2:25" ht="15">
      <c r="B687" s="141" t="s">
        <v>1317</v>
      </c>
      <c r="C687" s="14" t="s">
        <v>1318</v>
      </c>
      <c r="D687" s="97" t="str">
        <f t="shared" si="52"/>
        <v>Same k as rxn BR09</v>
      </c>
      <c r="E687" s="97"/>
      <c r="F687" s="97"/>
      <c r="G687" s="97"/>
      <c r="H687" s="39" t="s">
        <v>203</v>
      </c>
      <c r="I687" s="49" t="s">
        <v>48</v>
      </c>
      <c r="K687" s="116"/>
      <c r="L687" s="120"/>
      <c r="M687" s="117"/>
      <c r="N687" s="116"/>
      <c r="O687" s="117"/>
      <c r="P687" s="118"/>
      <c r="Q687" s="117"/>
      <c r="S687" s="40"/>
      <c r="T687" s="116"/>
      <c r="U687" s="117"/>
      <c r="V687" s="116"/>
      <c r="W687" s="116"/>
      <c r="X687" s="117"/>
      <c r="Y687" s="117"/>
    </row>
    <row r="688" spans="2:25" ht="15">
      <c r="B688" s="141" t="s">
        <v>1319</v>
      </c>
      <c r="C688" s="14" t="s">
        <v>1272</v>
      </c>
      <c r="D688" s="97" t="str">
        <f t="shared" si="52"/>
        <v>Same k as rxn BR10</v>
      </c>
      <c r="E688" s="97"/>
      <c r="F688" s="97"/>
      <c r="G688" s="97"/>
      <c r="H688" s="39" t="s">
        <v>203</v>
      </c>
      <c r="I688" s="49" t="s">
        <v>50</v>
      </c>
      <c r="K688" s="116"/>
      <c r="L688" s="120"/>
      <c r="M688" s="117"/>
      <c r="N688" s="116"/>
      <c r="O688" s="117"/>
      <c r="P688" s="118"/>
      <c r="Q688" s="117"/>
      <c r="S688" s="40"/>
      <c r="T688" s="116"/>
      <c r="U688" s="117"/>
      <c r="V688" s="116"/>
      <c r="W688" s="116"/>
      <c r="X688" s="117"/>
      <c r="Y688" s="117"/>
    </row>
    <row r="689" spans="2:25" ht="15">
      <c r="B689" s="141" t="s">
        <v>1320</v>
      </c>
      <c r="C689" s="14" t="s">
        <v>1273</v>
      </c>
      <c r="D689" s="97" t="str">
        <f t="shared" si="52"/>
        <v>Same k as rxn BR11</v>
      </c>
      <c r="E689" s="97"/>
      <c r="F689" s="97"/>
      <c r="G689" s="97"/>
      <c r="H689" s="39" t="s">
        <v>203</v>
      </c>
      <c r="I689" s="49" t="s">
        <v>52</v>
      </c>
      <c r="K689" s="116"/>
      <c r="L689" s="120"/>
      <c r="M689" s="117"/>
      <c r="N689" s="116"/>
      <c r="O689" s="117"/>
      <c r="P689" s="118"/>
      <c r="Q689" s="117"/>
      <c r="S689" s="40"/>
      <c r="T689" s="116"/>
      <c r="U689" s="117"/>
      <c r="V689" s="116"/>
      <c r="W689" s="116"/>
      <c r="X689" s="117"/>
      <c r="Y689" s="117"/>
    </row>
    <row r="690" spans="2:25" ht="15">
      <c r="B690" s="141" t="s">
        <v>1321</v>
      </c>
      <c r="C690" s="14" t="s">
        <v>1274</v>
      </c>
      <c r="D690" s="97" t="str">
        <f t="shared" si="52"/>
        <v>Same k as rxn BR11</v>
      </c>
      <c r="E690" s="97"/>
      <c r="F690" s="97"/>
      <c r="G690" s="97"/>
      <c r="H690" s="39" t="s">
        <v>203</v>
      </c>
      <c r="I690" s="49" t="s">
        <v>52</v>
      </c>
      <c r="K690" s="116"/>
      <c r="L690" s="120"/>
      <c r="M690" s="117"/>
      <c r="N690" s="116"/>
      <c r="O690" s="117"/>
      <c r="P690" s="118"/>
      <c r="Q690" s="117"/>
      <c r="S690" s="40"/>
      <c r="T690" s="116"/>
      <c r="U690" s="117"/>
      <c r="V690" s="116"/>
      <c r="W690" s="116"/>
      <c r="X690" s="117"/>
      <c r="Y690" s="117"/>
    </row>
    <row r="691" spans="2:25" ht="15">
      <c r="B691" s="141" t="s">
        <v>1322</v>
      </c>
      <c r="C691" s="14" t="s">
        <v>604</v>
      </c>
      <c r="D691" s="97" t="str">
        <f t="shared" si="52"/>
        <v>Same k as rxn BR25</v>
      </c>
      <c r="E691" s="97"/>
      <c r="F691" s="97"/>
      <c r="G691" s="97"/>
      <c r="H691" s="39" t="s">
        <v>203</v>
      </c>
      <c r="I691" s="49" t="s">
        <v>81</v>
      </c>
      <c r="K691" s="116"/>
      <c r="L691" s="120"/>
      <c r="M691" s="117"/>
      <c r="N691" s="116"/>
      <c r="O691" s="117"/>
      <c r="P691" s="118"/>
      <c r="Q691" s="117"/>
      <c r="S691" s="40"/>
      <c r="T691" s="116"/>
      <c r="U691" s="117"/>
      <c r="V691" s="116"/>
      <c r="W691" s="116"/>
      <c r="X691" s="117"/>
      <c r="Y691" s="117"/>
    </row>
    <row r="692" spans="2:25" ht="15">
      <c r="B692" s="141" t="s">
        <v>1323</v>
      </c>
      <c r="C692" s="14" t="s">
        <v>605</v>
      </c>
      <c r="D692" s="97" t="str">
        <f t="shared" si="52"/>
        <v>Same k as rxn BR25</v>
      </c>
      <c r="E692" s="97"/>
      <c r="F692" s="97"/>
      <c r="G692" s="97"/>
      <c r="H692" s="39" t="s">
        <v>203</v>
      </c>
      <c r="I692" s="49" t="s">
        <v>81</v>
      </c>
      <c r="K692" s="116"/>
      <c r="L692" s="120"/>
      <c r="M692" s="117"/>
      <c r="N692" s="116"/>
      <c r="O692" s="117"/>
      <c r="P692" s="118"/>
      <c r="Q692" s="117"/>
      <c r="S692" s="40"/>
      <c r="T692" s="116"/>
      <c r="U692" s="117"/>
      <c r="V692" s="116"/>
      <c r="W692" s="116"/>
      <c r="X692" s="117"/>
      <c r="Y692" s="117"/>
    </row>
    <row r="693" spans="2:25" ht="15">
      <c r="B693" s="141" t="s">
        <v>1324</v>
      </c>
      <c r="C693" s="14" t="s">
        <v>606</v>
      </c>
      <c r="D693" s="97" t="str">
        <f t="shared" si="52"/>
        <v>Same k as rxn BR25</v>
      </c>
      <c r="E693" s="97"/>
      <c r="F693" s="97"/>
      <c r="G693" s="97"/>
      <c r="H693" s="39" t="s">
        <v>203</v>
      </c>
      <c r="I693" s="49" t="s">
        <v>81</v>
      </c>
      <c r="K693" s="116"/>
      <c r="L693" s="120"/>
      <c r="M693" s="117"/>
      <c r="N693" s="116"/>
      <c r="O693" s="117"/>
      <c r="P693" s="118"/>
      <c r="Q693" s="117"/>
      <c r="S693" s="40"/>
      <c r="T693" s="116"/>
      <c r="U693" s="117"/>
      <c r="V693" s="116"/>
      <c r="W693" s="116"/>
      <c r="X693" s="117"/>
      <c r="Y693" s="117"/>
    </row>
    <row r="694" spans="2:25" ht="15">
      <c r="B694" s="141" t="s">
        <v>1325</v>
      </c>
      <c r="C694" s="14" t="s">
        <v>607</v>
      </c>
      <c r="D694" s="97" t="str">
        <f t="shared" si="52"/>
        <v>Same k as rxn BR25</v>
      </c>
      <c r="E694" s="97"/>
      <c r="F694" s="97"/>
      <c r="G694" s="97"/>
      <c r="H694" s="39" t="s">
        <v>203</v>
      </c>
      <c r="I694" s="49" t="s">
        <v>81</v>
      </c>
      <c r="K694" s="116"/>
      <c r="L694" s="120"/>
      <c r="M694" s="117"/>
      <c r="N694" s="116"/>
      <c r="O694" s="117"/>
      <c r="P694" s="118"/>
      <c r="Q694" s="117"/>
      <c r="S694" s="40"/>
      <c r="T694" s="116"/>
      <c r="U694" s="117"/>
      <c r="V694" s="116"/>
      <c r="W694" s="116"/>
      <c r="X694" s="117"/>
      <c r="Y694" s="117"/>
    </row>
    <row r="695" spans="2:25" ht="15">
      <c r="B695" s="141" t="s">
        <v>1326</v>
      </c>
      <c r="C695" s="14" t="s">
        <v>1327</v>
      </c>
      <c r="D695" s="97" t="str">
        <f t="shared" si="52"/>
        <v>Same k as rxn BR07</v>
      </c>
      <c r="E695" s="97"/>
      <c r="F695" s="97"/>
      <c r="G695" s="97"/>
      <c r="H695" s="39" t="s">
        <v>203</v>
      </c>
      <c r="I695" s="49" t="s">
        <v>44</v>
      </c>
      <c r="K695" s="116"/>
      <c r="L695" s="120"/>
      <c r="M695" s="117"/>
      <c r="N695" s="116"/>
      <c r="O695" s="117"/>
      <c r="P695" s="118"/>
      <c r="Q695" s="117"/>
      <c r="S695" s="40"/>
      <c r="T695" s="116"/>
      <c r="U695" s="117"/>
      <c r="V695" s="116"/>
      <c r="W695" s="116"/>
      <c r="X695" s="117"/>
      <c r="Y695" s="117"/>
    </row>
    <row r="696" spans="2:25" ht="15">
      <c r="B696" s="141" t="s">
        <v>1328</v>
      </c>
      <c r="C696" s="14" t="s">
        <v>1329</v>
      </c>
      <c r="D696" s="97" t="str">
        <f t="shared" si="52"/>
        <v>Same k as rxn BR08</v>
      </c>
      <c r="E696" s="97"/>
      <c r="F696" s="97"/>
      <c r="G696" s="97"/>
      <c r="H696" s="39" t="s">
        <v>203</v>
      </c>
      <c r="I696" s="49" t="s">
        <v>46</v>
      </c>
      <c r="K696" s="116"/>
      <c r="L696" s="120"/>
      <c r="M696" s="117"/>
      <c r="N696" s="116"/>
      <c r="O696" s="117"/>
      <c r="P696" s="118"/>
      <c r="Q696" s="117"/>
      <c r="S696" s="40"/>
      <c r="T696" s="116"/>
      <c r="U696" s="117"/>
      <c r="V696" s="116"/>
      <c r="W696" s="116"/>
      <c r="X696" s="117"/>
      <c r="Y696" s="117"/>
    </row>
    <row r="697" spans="2:25" ht="15">
      <c r="B697" s="141" t="s">
        <v>1330</v>
      </c>
      <c r="C697" s="14" t="s">
        <v>1331</v>
      </c>
      <c r="D697" s="97" t="str">
        <f t="shared" si="52"/>
        <v>Same k as rxn BR09</v>
      </c>
      <c r="E697" s="97"/>
      <c r="F697" s="97"/>
      <c r="G697" s="97"/>
      <c r="H697" s="39" t="s">
        <v>203</v>
      </c>
      <c r="I697" s="49" t="s">
        <v>48</v>
      </c>
      <c r="K697" s="116"/>
      <c r="L697" s="120"/>
      <c r="M697" s="117"/>
      <c r="N697" s="116"/>
      <c r="O697" s="117"/>
      <c r="P697" s="118"/>
      <c r="Q697" s="117"/>
      <c r="S697" s="40"/>
      <c r="T697" s="116"/>
      <c r="U697" s="117"/>
      <c r="V697" s="116"/>
      <c r="W697" s="116"/>
      <c r="X697" s="117"/>
      <c r="Y697" s="117"/>
    </row>
    <row r="698" spans="2:25" ht="25.5">
      <c r="B698" s="141" t="s">
        <v>1332</v>
      </c>
      <c r="C698" s="14" t="s">
        <v>1275</v>
      </c>
      <c r="D698" s="97" t="str">
        <f t="shared" si="52"/>
        <v>Same k as rxn BR10</v>
      </c>
      <c r="E698" s="97"/>
      <c r="F698" s="97"/>
      <c r="G698" s="97"/>
      <c r="H698" s="39" t="s">
        <v>203</v>
      </c>
      <c r="I698" s="49" t="s">
        <v>50</v>
      </c>
      <c r="K698" s="116"/>
      <c r="L698" s="120"/>
      <c r="M698" s="117"/>
      <c r="N698" s="116"/>
      <c r="O698" s="117"/>
      <c r="P698" s="118"/>
      <c r="Q698" s="117"/>
      <c r="S698" s="40"/>
      <c r="T698" s="116"/>
      <c r="U698" s="117"/>
      <c r="V698" s="116"/>
      <c r="W698" s="116"/>
      <c r="X698" s="117"/>
      <c r="Y698" s="117"/>
    </row>
    <row r="699" spans="2:25" ht="25.5">
      <c r="B699" s="141" t="s">
        <v>1333</v>
      </c>
      <c r="C699" s="14" t="s">
        <v>1276</v>
      </c>
      <c r="D699" s="97" t="str">
        <f t="shared" si="52"/>
        <v>Same k as rxn BR11</v>
      </c>
      <c r="E699" s="97"/>
      <c r="F699" s="97"/>
      <c r="G699" s="97"/>
      <c r="H699" s="39" t="s">
        <v>203</v>
      </c>
      <c r="I699" s="49" t="s">
        <v>52</v>
      </c>
      <c r="K699" s="116"/>
      <c r="L699" s="120"/>
      <c r="M699" s="117"/>
      <c r="N699" s="116"/>
      <c r="O699" s="117"/>
      <c r="P699" s="118"/>
      <c r="Q699" s="117"/>
      <c r="S699" s="40"/>
      <c r="T699" s="116"/>
      <c r="U699" s="117"/>
      <c r="V699" s="116"/>
      <c r="W699" s="116"/>
      <c r="X699" s="117"/>
      <c r="Y699" s="117"/>
    </row>
    <row r="700" spans="2:25" ht="25.5">
      <c r="B700" s="141" t="s">
        <v>1334</v>
      </c>
      <c r="C700" s="14" t="s">
        <v>1277</v>
      </c>
      <c r="D700" s="97" t="str">
        <f t="shared" si="52"/>
        <v>Same k as rxn BR11</v>
      </c>
      <c r="E700" s="97"/>
      <c r="F700" s="97"/>
      <c r="G700" s="97"/>
      <c r="H700" s="39" t="s">
        <v>203</v>
      </c>
      <c r="I700" s="49" t="s">
        <v>52</v>
      </c>
      <c r="K700" s="116"/>
      <c r="L700" s="120"/>
      <c r="M700" s="117"/>
      <c r="N700" s="116"/>
      <c r="O700" s="117"/>
      <c r="P700" s="118"/>
      <c r="Q700" s="117"/>
      <c r="S700" s="40"/>
      <c r="T700" s="116"/>
      <c r="U700" s="117"/>
      <c r="V700" s="116"/>
      <c r="W700" s="116"/>
      <c r="X700" s="117"/>
      <c r="Y700" s="117"/>
    </row>
    <row r="701" spans="2:25" ht="15">
      <c r="B701" s="141" t="s">
        <v>1335</v>
      </c>
      <c r="C701" s="14" t="s">
        <v>608</v>
      </c>
      <c r="D701" s="97" t="str">
        <f t="shared" si="52"/>
        <v>Same k as rxn BR25</v>
      </c>
      <c r="E701" s="97"/>
      <c r="F701" s="97"/>
      <c r="G701" s="97"/>
      <c r="H701" s="39" t="s">
        <v>203</v>
      </c>
      <c r="I701" s="49" t="s">
        <v>81</v>
      </c>
      <c r="K701" s="116"/>
      <c r="L701" s="120"/>
      <c r="M701" s="117"/>
      <c r="N701" s="116"/>
      <c r="O701" s="117"/>
      <c r="P701" s="118"/>
      <c r="Q701" s="117"/>
      <c r="S701" s="40"/>
      <c r="T701" s="116"/>
      <c r="U701" s="117"/>
      <c r="V701" s="116"/>
      <c r="W701" s="116"/>
      <c r="X701" s="117"/>
      <c r="Y701" s="117"/>
    </row>
    <row r="702" spans="2:25" ht="15">
      <c r="B702" s="141" t="s">
        <v>1336</v>
      </c>
      <c r="C702" s="14" t="s">
        <v>609</v>
      </c>
      <c r="D702" s="97" t="str">
        <f t="shared" si="52"/>
        <v>Same k as rxn BR25</v>
      </c>
      <c r="E702" s="97"/>
      <c r="F702" s="97"/>
      <c r="G702" s="97"/>
      <c r="H702" s="39" t="s">
        <v>203</v>
      </c>
      <c r="I702" s="49" t="s">
        <v>81</v>
      </c>
      <c r="K702" s="116"/>
      <c r="L702" s="120"/>
      <c r="M702" s="117"/>
      <c r="N702" s="116"/>
      <c r="O702" s="117"/>
      <c r="P702" s="118"/>
      <c r="Q702" s="117"/>
      <c r="S702" s="40"/>
      <c r="T702" s="116"/>
      <c r="U702" s="117"/>
      <c r="V702" s="116"/>
      <c r="W702" s="116"/>
      <c r="X702" s="117"/>
      <c r="Y702" s="117"/>
    </row>
    <row r="703" spans="2:25" ht="15">
      <c r="B703" s="141" t="s">
        <v>1337</v>
      </c>
      <c r="C703" s="14" t="s">
        <v>610</v>
      </c>
      <c r="D703" s="97" t="str">
        <f t="shared" si="52"/>
        <v>Same k as rxn BR25</v>
      </c>
      <c r="E703" s="97"/>
      <c r="F703" s="97"/>
      <c r="G703" s="97"/>
      <c r="H703" s="39" t="s">
        <v>203</v>
      </c>
      <c r="I703" s="49" t="s">
        <v>81</v>
      </c>
      <c r="K703" s="116"/>
      <c r="L703" s="120"/>
      <c r="M703" s="117"/>
      <c r="N703" s="116"/>
      <c r="O703" s="117"/>
      <c r="P703" s="118"/>
      <c r="Q703" s="117"/>
      <c r="S703" s="40"/>
      <c r="T703" s="116"/>
      <c r="U703" s="117"/>
      <c r="V703" s="116"/>
      <c r="W703" s="116"/>
      <c r="X703" s="117"/>
      <c r="Y703" s="117"/>
    </row>
    <row r="704" spans="2:25" ht="15">
      <c r="B704" s="141" t="s">
        <v>1338</v>
      </c>
      <c r="C704" s="14" t="s">
        <v>611</v>
      </c>
      <c r="D704" s="97" t="str">
        <f t="shared" si="52"/>
        <v>Same k as rxn BR25</v>
      </c>
      <c r="E704" s="97"/>
      <c r="F704" s="97"/>
      <c r="G704" s="97"/>
      <c r="H704" s="39" t="s">
        <v>203</v>
      </c>
      <c r="I704" s="49" t="s">
        <v>81</v>
      </c>
      <c r="K704" s="116"/>
      <c r="L704" s="120"/>
      <c r="M704" s="117"/>
      <c r="N704" s="116"/>
      <c r="O704" s="117"/>
      <c r="P704" s="118"/>
      <c r="Q704" s="117"/>
      <c r="S704" s="40"/>
      <c r="T704" s="116"/>
      <c r="U704" s="117"/>
      <c r="V704" s="116"/>
      <c r="W704" s="116"/>
      <c r="X704" s="117"/>
      <c r="Y704" s="117"/>
    </row>
    <row r="705" spans="2:25" ht="15">
      <c r="B705" s="141" t="s">
        <v>1339</v>
      </c>
      <c r="C705" s="14" t="s">
        <v>1340</v>
      </c>
      <c r="D705" s="97" t="str">
        <f t="shared" si="52"/>
        <v>Same k as rxn BR07</v>
      </c>
      <c r="E705" s="97"/>
      <c r="F705" s="97"/>
      <c r="G705" s="97"/>
      <c r="H705" s="39" t="s">
        <v>203</v>
      </c>
      <c r="I705" s="49" t="s">
        <v>44</v>
      </c>
      <c r="K705" s="116"/>
      <c r="L705" s="120"/>
      <c r="M705" s="117"/>
      <c r="N705" s="116"/>
      <c r="O705" s="117"/>
      <c r="P705" s="118"/>
      <c r="Q705" s="117"/>
      <c r="S705" s="40"/>
      <c r="T705" s="116"/>
      <c r="U705" s="117"/>
      <c r="V705" s="116"/>
      <c r="W705" s="116"/>
      <c r="X705" s="117"/>
      <c r="Y705" s="117"/>
    </row>
    <row r="706" spans="2:25" ht="15">
      <c r="B706" s="141" t="s">
        <v>1341</v>
      </c>
      <c r="C706" s="14" t="s">
        <v>1342</v>
      </c>
      <c r="D706" s="97" t="str">
        <f t="shared" si="52"/>
        <v>Same k as rxn BR08</v>
      </c>
      <c r="E706" s="97"/>
      <c r="F706" s="97"/>
      <c r="G706" s="97"/>
      <c r="H706" s="39" t="s">
        <v>203</v>
      </c>
      <c r="I706" s="49" t="s">
        <v>46</v>
      </c>
      <c r="K706" s="116"/>
      <c r="L706" s="120"/>
      <c r="M706" s="117"/>
      <c r="N706" s="116"/>
      <c r="O706" s="117"/>
      <c r="P706" s="118"/>
      <c r="Q706" s="117"/>
      <c r="S706" s="40"/>
      <c r="T706" s="116"/>
      <c r="U706" s="117"/>
      <c r="V706" s="116"/>
      <c r="W706" s="116"/>
      <c r="X706" s="117"/>
      <c r="Y706" s="117"/>
    </row>
    <row r="707" spans="2:25" ht="15">
      <c r="B707" s="141" t="s">
        <v>1343</v>
      </c>
      <c r="C707" s="14" t="s">
        <v>1344</v>
      </c>
      <c r="D707" s="97" t="str">
        <f t="shared" si="52"/>
        <v>Same k as rxn BR09</v>
      </c>
      <c r="E707" s="97"/>
      <c r="F707" s="97"/>
      <c r="G707" s="97"/>
      <c r="H707" s="39" t="s">
        <v>203</v>
      </c>
      <c r="I707" s="49" t="s">
        <v>48</v>
      </c>
      <c r="K707" s="116"/>
      <c r="L707" s="120"/>
      <c r="M707" s="117"/>
      <c r="N707" s="116"/>
      <c r="O707" s="117"/>
      <c r="P707" s="118"/>
      <c r="Q707" s="117"/>
      <c r="S707" s="40"/>
      <c r="T707" s="116"/>
      <c r="U707" s="117"/>
      <c r="V707" s="116"/>
      <c r="W707" s="116"/>
      <c r="X707" s="117"/>
      <c r="Y707" s="117"/>
    </row>
    <row r="708" spans="2:25" ht="25.5">
      <c r="B708" s="141" t="s">
        <v>1345</v>
      </c>
      <c r="C708" s="14" t="s">
        <v>1278</v>
      </c>
      <c r="D708" s="97" t="str">
        <f t="shared" si="52"/>
        <v>Same k as rxn BR10</v>
      </c>
      <c r="E708" s="97"/>
      <c r="F708" s="97"/>
      <c r="G708" s="97"/>
      <c r="H708" s="39" t="s">
        <v>203</v>
      </c>
      <c r="I708" s="49" t="s">
        <v>50</v>
      </c>
      <c r="K708" s="116"/>
      <c r="L708" s="120"/>
      <c r="M708" s="117"/>
      <c r="N708" s="116"/>
      <c r="O708" s="117"/>
      <c r="P708" s="118"/>
      <c r="Q708" s="117"/>
      <c r="S708" s="40"/>
      <c r="T708" s="116"/>
      <c r="U708" s="117"/>
      <c r="V708" s="116"/>
      <c r="W708" s="116"/>
      <c r="X708" s="117"/>
      <c r="Y708" s="117"/>
    </row>
    <row r="709" spans="2:25" ht="25.5">
      <c r="B709" s="141" t="s">
        <v>1346</v>
      </c>
      <c r="C709" s="14" t="s">
        <v>1279</v>
      </c>
      <c r="D709" s="97" t="str">
        <f t="shared" si="52"/>
        <v>Same k as rxn BR11</v>
      </c>
      <c r="E709" s="97"/>
      <c r="F709" s="97"/>
      <c r="G709" s="97"/>
      <c r="H709" s="39" t="s">
        <v>203</v>
      </c>
      <c r="I709" s="49" t="s">
        <v>52</v>
      </c>
      <c r="K709" s="116"/>
      <c r="L709" s="120"/>
      <c r="M709" s="117"/>
      <c r="N709" s="116"/>
      <c r="O709" s="117"/>
      <c r="P709" s="118"/>
      <c r="Q709" s="117"/>
      <c r="S709" s="40"/>
      <c r="T709" s="116"/>
      <c r="U709" s="117"/>
      <c r="V709" s="116"/>
      <c r="W709" s="116"/>
      <c r="X709" s="117"/>
      <c r="Y709" s="117"/>
    </row>
    <row r="710" spans="2:25" ht="25.5">
      <c r="B710" s="141" t="s">
        <v>1347</v>
      </c>
      <c r="C710" s="14" t="s">
        <v>1280</v>
      </c>
      <c r="D710" s="97" t="str">
        <f t="shared" si="52"/>
        <v>Same k as rxn BR11</v>
      </c>
      <c r="E710" s="97"/>
      <c r="F710" s="97"/>
      <c r="G710" s="97"/>
      <c r="H710" s="39" t="s">
        <v>203</v>
      </c>
      <c r="I710" s="49" t="s">
        <v>52</v>
      </c>
      <c r="K710" s="116"/>
      <c r="L710" s="120"/>
      <c r="M710" s="117"/>
      <c r="N710" s="116"/>
      <c r="O710" s="117"/>
      <c r="P710" s="118"/>
      <c r="Q710" s="117"/>
      <c r="S710" s="40"/>
      <c r="T710" s="116"/>
      <c r="U710" s="117"/>
      <c r="V710" s="116"/>
      <c r="W710" s="116"/>
      <c r="X710" s="117"/>
      <c r="Y710" s="117"/>
    </row>
    <row r="711" spans="2:25" ht="15">
      <c r="B711" s="141" t="s">
        <v>1348</v>
      </c>
      <c r="C711" s="14" t="s">
        <v>612</v>
      </c>
      <c r="D711" s="97" t="str">
        <f t="shared" si="52"/>
        <v>Same k as rxn BR25</v>
      </c>
      <c r="E711" s="97"/>
      <c r="F711" s="97"/>
      <c r="G711" s="97"/>
      <c r="H711" s="39" t="s">
        <v>203</v>
      </c>
      <c r="I711" s="49" t="s">
        <v>81</v>
      </c>
      <c r="K711" s="116"/>
      <c r="L711" s="120"/>
      <c r="M711" s="117"/>
      <c r="N711" s="116"/>
      <c r="O711" s="117"/>
      <c r="P711" s="118"/>
      <c r="Q711" s="117"/>
      <c r="S711" s="40"/>
      <c r="T711" s="116"/>
      <c r="U711" s="117"/>
      <c r="V711" s="116"/>
      <c r="W711" s="116"/>
      <c r="X711" s="117"/>
      <c r="Y711" s="117"/>
    </row>
    <row r="712" spans="2:25" ht="15">
      <c r="B712" s="141" t="s">
        <v>1349</v>
      </c>
      <c r="C712" s="14" t="s">
        <v>613</v>
      </c>
      <c r="D712" s="97" t="str">
        <f t="shared" si="52"/>
        <v>Same k as rxn BR25</v>
      </c>
      <c r="E712" s="97"/>
      <c r="F712" s="97"/>
      <c r="G712" s="97"/>
      <c r="H712" s="39" t="s">
        <v>203</v>
      </c>
      <c r="I712" s="49" t="s">
        <v>81</v>
      </c>
      <c r="K712" s="116"/>
      <c r="L712" s="120"/>
      <c r="M712" s="117"/>
      <c r="N712" s="116"/>
      <c r="O712" s="117"/>
      <c r="P712" s="118"/>
      <c r="Q712" s="117"/>
      <c r="S712" s="40"/>
      <c r="T712" s="116"/>
      <c r="U712" s="117"/>
      <c r="V712" s="116"/>
      <c r="W712" s="116"/>
      <c r="X712" s="117"/>
      <c r="Y712" s="117"/>
    </row>
    <row r="713" spans="2:25" ht="15">
      <c r="B713" s="141" t="s">
        <v>1350</v>
      </c>
      <c r="C713" s="14" t="s">
        <v>614</v>
      </c>
      <c r="D713" s="97" t="str">
        <f t="shared" si="52"/>
        <v>Same k as rxn BR25</v>
      </c>
      <c r="E713" s="97"/>
      <c r="F713" s="97"/>
      <c r="G713" s="97"/>
      <c r="H713" s="39" t="s">
        <v>203</v>
      </c>
      <c r="I713" s="49" t="s">
        <v>81</v>
      </c>
      <c r="K713" s="116"/>
      <c r="L713" s="120"/>
      <c r="M713" s="117"/>
      <c r="N713" s="116"/>
      <c r="O713" s="117"/>
      <c r="P713" s="118"/>
      <c r="Q713" s="117"/>
      <c r="S713" s="40"/>
      <c r="T713" s="116"/>
      <c r="U713" s="117"/>
      <c r="V713" s="116"/>
      <c r="W713" s="116"/>
      <c r="X713" s="117"/>
      <c r="Y713" s="117"/>
    </row>
    <row r="714" spans="2:25" ht="15">
      <c r="B714" s="141" t="s">
        <v>1351</v>
      </c>
      <c r="C714" s="14" t="s">
        <v>615</v>
      </c>
      <c r="D714" s="97" t="str">
        <f t="shared" si="52"/>
        <v>Same k as rxn BR25</v>
      </c>
      <c r="E714" s="97"/>
      <c r="F714" s="97"/>
      <c r="G714" s="97"/>
      <c r="H714" s="39" t="s">
        <v>203</v>
      </c>
      <c r="I714" s="49" t="s">
        <v>81</v>
      </c>
      <c r="K714" s="116"/>
      <c r="L714" s="120"/>
      <c r="M714" s="117"/>
      <c r="N714" s="116"/>
      <c r="O714" s="117"/>
      <c r="P714" s="118"/>
      <c r="Q714" s="117"/>
      <c r="S714" s="40"/>
      <c r="T714" s="116"/>
      <c r="U714" s="117"/>
      <c r="V714" s="116"/>
      <c r="W714" s="116"/>
      <c r="X714" s="117"/>
      <c r="Y714" s="117"/>
    </row>
    <row r="715" spans="1:25" ht="15">
      <c r="A715" s="13" t="s">
        <v>1352</v>
      </c>
      <c r="D715" s="95"/>
      <c r="E715" s="95"/>
      <c r="F715" s="96"/>
      <c r="G715" s="96"/>
      <c r="J715" s="38"/>
      <c r="K715" s="109"/>
      <c r="L715" s="110"/>
      <c r="M715" s="111"/>
      <c r="N715" s="112"/>
      <c r="O715" s="111"/>
      <c r="P715" s="113"/>
      <c r="Q715" s="111"/>
      <c r="S715" s="40">
        <f>IF(OR(H715="T",H715="C"),T715,IF(H715="F",(V715/(1+(V715/T715)))*Q715^(1/(1+((LOG10(V715/T715)/R715)^2))),IF(H715="S1",T715+V715,IF(H715="S2",T715+(V715/(1+(V715/#REF!))),""))))</f>
      </c>
      <c r="T715" s="109"/>
      <c r="U715" s="111"/>
      <c r="V715" s="112"/>
      <c r="W715" s="112"/>
      <c r="X715" s="111"/>
      <c r="Y715" s="111"/>
    </row>
    <row r="716" spans="2:25" ht="15">
      <c r="B716" s="49" t="s">
        <v>1353</v>
      </c>
      <c r="C716" s="14" t="s">
        <v>1354</v>
      </c>
      <c r="D716" s="100">
        <f>IF(OR(H716="T",H716="C"),S716,H716)</f>
        <v>1.0240780807898633E-13</v>
      </c>
      <c r="E716" s="100">
        <f>IF(H716="C","",K716)</f>
        <v>7.3E-12</v>
      </c>
      <c r="F716" s="101">
        <f>IF(H716="C","",U716)</f>
        <v>2.543616</v>
      </c>
      <c r="G716" s="101">
        <f>IF(M716=0,"",M716)</f>
      </c>
      <c r="H716" s="39" t="s">
        <v>1859</v>
      </c>
      <c r="K716" s="116">
        <v>7.3E-12</v>
      </c>
      <c r="L716" s="120">
        <v>1280</v>
      </c>
      <c r="M716" s="118"/>
      <c r="N716" s="116"/>
      <c r="O716" s="120"/>
      <c r="P716" s="118"/>
      <c r="Q716" s="117"/>
      <c r="R716" s="136"/>
      <c r="S716" s="40">
        <f>IF(OR(H716="T",H716="C"),T716,IF(H716="F",(V716/(1+(V716/T716)))*Q716^(1/(1+(LOG10(V716/T716)^2))),IF(H716="S1",T716+V716,"")))</f>
        <v>1.0240780807898633E-13</v>
      </c>
      <c r="T716" s="40">
        <f aca="true" t="shared" si="53" ref="T716:T722">K716*EXP(-L716/T$4)*((T$4/300)^M716)</f>
        <v>1.0240780807898633E-13</v>
      </c>
      <c r="U716" s="15">
        <f aca="true" t="shared" si="54" ref="U716:U722">L716*Rfac</f>
        <v>2.543616</v>
      </c>
      <c r="V716" s="116"/>
      <c r="W716" s="116"/>
      <c r="X716" s="117"/>
      <c r="Y716" s="117"/>
    </row>
    <row r="717" spans="2:25" ht="25.5">
      <c r="B717" s="49" t="s">
        <v>1355</v>
      </c>
      <c r="C717" s="14" t="s">
        <v>1021</v>
      </c>
      <c r="D717" s="100">
        <f>S717</f>
        <v>1.043376840437224E-10</v>
      </c>
      <c r="E717" s="102" t="str">
        <f>IF(H717="F","Falloff, F="&amp;TEXT(Q717,"0.00")&amp;", N="&amp;TEXT(R717,"0.00"),H717)</f>
        <v>Falloff, F=0.60, N=1.00</v>
      </c>
      <c r="F717" s="103"/>
      <c r="G717" s="99"/>
      <c r="H717" s="39" t="s">
        <v>1843</v>
      </c>
      <c r="K717" s="116">
        <v>3.1E-10</v>
      </c>
      <c r="L717" s="120"/>
      <c r="M717" s="118">
        <v>-1</v>
      </c>
      <c r="N717" s="116">
        <v>1.6E-29</v>
      </c>
      <c r="O717" s="120">
        <v>0</v>
      </c>
      <c r="P717" s="118">
        <v>-3.3</v>
      </c>
      <c r="Q717" s="117">
        <v>0.6</v>
      </c>
      <c r="R717" s="136">
        <v>1</v>
      </c>
      <c r="S717" s="40">
        <f>IF(OR(H717="T",H717="C"),T717,IF(H717="F",(V717/(1+(V717/T717)))*Q717^(1/(1+(LOG10(V717/T717)^2))),IF(H717="S1",T717+V717,IF(H717="S2",T717+(V717/(1+(V717/#REF!))),""))))</f>
        <v>1.043376840437224E-10</v>
      </c>
      <c r="T717" s="40">
        <f t="shared" si="53"/>
        <v>3.1E-10</v>
      </c>
      <c r="U717" s="15">
        <f t="shared" si="54"/>
        <v>0</v>
      </c>
      <c r="V717" s="40">
        <f>W717*V$3*7.3395E+21/T$4</f>
        <v>3.9144000000000005E-10</v>
      </c>
      <c r="W717" s="40">
        <f>N717*EXP(-O717/T$4)*(T$4/300)^P717</f>
        <v>1.6E-29</v>
      </c>
      <c r="X717" s="15">
        <f>O717*Rfac</f>
        <v>0</v>
      </c>
      <c r="Y717" s="15"/>
    </row>
    <row r="718" spans="2:25" ht="51">
      <c r="B718" s="49" t="s">
        <v>616</v>
      </c>
      <c r="C718" s="14" t="s">
        <v>1022</v>
      </c>
      <c r="D718" s="100">
        <f>IF(OR(H718="T",H718="C"),S718,H718)</f>
        <v>2.67E-10</v>
      </c>
      <c r="E718" s="100">
        <f>IF(H718="C","",K718)</f>
      </c>
      <c r="F718" s="101">
        <f>IF(H718="C","",U718)</f>
      </c>
      <c r="G718" s="101">
        <f>IF(M718=0,"",M718)</f>
      </c>
      <c r="H718" s="39" t="s">
        <v>1851</v>
      </c>
      <c r="K718" s="116">
        <v>2.67E-10</v>
      </c>
      <c r="L718" s="120"/>
      <c r="M718" s="118"/>
      <c r="N718" s="116"/>
      <c r="O718" s="120"/>
      <c r="P718" s="118"/>
      <c r="Q718" s="117"/>
      <c r="R718" s="136"/>
      <c r="S718" s="40">
        <f>IF(OR(H718="T",H718="C"),T718,IF(H718="F",(V718/(1+(V718/T718)))*Q718^(1/(1+(LOG10(V718/T718)^2))),IF(H718="S1",T718+V718,IF(H718="S2",T718+(V718/(1+(V718/#REF!))),""))))</f>
        <v>2.67E-10</v>
      </c>
      <c r="T718" s="40">
        <f t="shared" si="53"/>
        <v>2.67E-10</v>
      </c>
      <c r="U718" s="15">
        <f t="shared" si="54"/>
        <v>0</v>
      </c>
      <c r="V718" s="40"/>
      <c r="W718" s="40"/>
      <c r="X718" s="15"/>
      <c r="Y718" s="15"/>
    </row>
    <row r="719" spans="2:25" ht="51">
      <c r="B719" s="49" t="s">
        <v>617</v>
      </c>
      <c r="C719" s="14" t="s">
        <v>1023</v>
      </c>
      <c r="D719" s="100">
        <f>IF(OR(H719="T",H719="C"),S719,H719)</f>
        <v>4.9E-10</v>
      </c>
      <c r="E719" s="100">
        <f>IF(H719="C","",K719)</f>
      </c>
      <c r="F719" s="101">
        <f>IF(H719="C","",U719)</f>
      </c>
      <c r="G719" s="101">
        <f>IF(M719=0,"",M719)</f>
      </c>
      <c r="H719" s="39" t="s">
        <v>1851</v>
      </c>
      <c r="K719" s="116">
        <v>4.9E-10</v>
      </c>
      <c r="L719" s="120"/>
      <c r="M719" s="118"/>
      <c r="N719" s="116"/>
      <c r="O719" s="120"/>
      <c r="P719" s="118"/>
      <c r="Q719" s="117"/>
      <c r="R719" s="136"/>
      <c r="S719" s="40">
        <f>IF(OR(H719="T",H719="C"),T719,IF(H719="F",(V719/(1+(V719/T719)))*Q719^(1/(1+(LOG10(V719/T719)^2))),IF(H719="S1",T719+V719,IF(H719="S2",T719+(V719/(1+(V719/#REF!))),""))))</f>
        <v>4.9E-10</v>
      </c>
      <c r="T719" s="40">
        <f t="shared" si="53"/>
        <v>4.9E-10</v>
      </c>
      <c r="U719" s="15">
        <f t="shared" si="54"/>
        <v>0</v>
      </c>
      <c r="V719" s="40"/>
      <c r="W719" s="40"/>
      <c r="X719" s="15"/>
      <c r="Y719" s="15"/>
    </row>
    <row r="720" spans="2:25" ht="63.75">
      <c r="B720" s="49" t="s">
        <v>1356</v>
      </c>
      <c r="C720" s="14" t="s">
        <v>1024</v>
      </c>
      <c r="D720" s="100">
        <f>IF(OR(H720="T",H720="C"),S720,H720)</f>
        <v>4.8E-10</v>
      </c>
      <c r="E720" s="100">
        <f>IF(H720="C","",K720)</f>
      </c>
      <c r="F720" s="101">
        <f>IF(H720="C","",U720)</f>
      </c>
      <c r="G720" s="99"/>
      <c r="H720" s="39" t="s">
        <v>1851</v>
      </c>
      <c r="K720" s="116">
        <v>4.8E-10</v>
      </c>
      <c r="L720" s="120"/>
      <c r="M720" s="118"/>
      <c r="N720" s="116"/>
      <c r="O720" s="120"/>
      <c r="P720" s="118"/>
      <c r="Q720" s="117"/>
      <c r="R720" s="136"/>
      <c r="S720" s="40">
        <f>IF(OR(H720="T",H720="C"),T720,IF(H720="F",(V720/(1+(V720/T720)))*Q720^(1/(1+(LOG10(V720/T720)^2))),IF(H720="S1",T720+V720,IF(H720="S2",T720+(V720/(1+(V720/#REF!))),""))))</f>
        <v>4.8E-10</v>
      </c>
      <c r="T720" s="40">
        <f t="shared" si="53"/>
        <v>4.8E-10</v>
      </c>
      <c r="U720" s="15">
        <f t="shared" si="54"/>
        <v>0</v>
      </c>
      <c r="V720" s="40"/>
      <c r="W720" s="40"/>
      <c r="X720" s="15"/>
      <c r="Y720" s="15"/>
    </row>
    <row r="721" spans="2:25" ht="114.75">
      <c r="B721" s="49" t="s">
        <v>618</v>
      </c>
      <c r="C721" s="14" t="s">
        <v>1025</v>
      </c>
      <c r="D721" s="100">
        <f>IF(OR(H721="T",H721="C"),S721,H721)</f>
        <v>5.46327028732793E-10</v>
      </c>
      <c r="E721" s="100">
        <f>IF(H721="C","",K721)</f>
      </c>
      <c r="F721" s="101">
        <f>IF(H721="C","",U721)</f>
      </c>
      <c r="G721" s="99"/>
      <c r="H721" s="39" t="s">
        <v>1851</v>
      </c>
      <c r="K721" s="116">
        <v>5.46327028732793E-10</v>
      </c>
      <c r="L721" s="120"/>
      <c r="M721" s="118"/>
      <c r="N721" s="116"/>
      <c r="O721" s="120"/>
      <c r="P721" s="118"/>
      <c r="Q721" s="117"/>
      <c r="R721" s="136"/>
      <c r="S721" s="40">
        <f>IF(OR(H721="T",H721="C"),T721,IF(H721="F",(V721/(1+(V721/T721)))*Q721^(1/(1+(LOG10(V721/T721)^2))),IF(H721="S1",T721+V721,IF(H721="S2",T721+(V721/(1+(V721/#REF!))),""))))</f>
        <v>5.46327028732793E-10</v>
      </c>
      <c r="T721" s="40">
        <f t="shared" si="53"/>
        <v>5.46327028732793E-10</v>
      </c>
      <c r="U721" s="15">
        <f t="shared" si="54"/>
        <v>0</v>
      </c>
      <c r="V721" s="40"/>
      <c r="W721" s="40"/>
      <c r="X721" s="15"/>
      <c r="Y721" s="15"/>
    </row>
    <row r="722" spans="2:25" ht="15">
      <c r="B722" s="49" t="s">
        <v>1357</v>
      </c>
      <c r="C722" s="14" t="s">
        <v>1358</v>
      </c>
      <c r="D722" s="100">
        <f>S722</f>
        <v>4.970511784400202E-11</v>
      </c>
      <c r="E722" s="102" t="str">
        <f>IF(H722="F","Falloff, F="&amp;TEXT(Q722,"0.00")&amp;", N="&amp;TEXT(R722,"0.00"),H722)</f>
        <v>Falloff, F=0.60, N=1.00</v>
      </c>
      <c r="F722" s="103"/>
      <c r="G722" s="99"/>
      <c r="H722" s="39" t="s">
        <v>1843</v>
      </c>
      <c r="K722" s="116">
        <v>2.2E-10</v>
      </c>
      <c r="L722" s="120"/>
      <c r="M722" s="118"/>
      <c r="N722" s="116">
        <v>5.2E-30</v>
      </c>
      <c r="O722" s="120"/>
      <c r="P722" s="118">
        <v>-2.4</v>
      </c>
      <c r="Q722" s="117">
        <v>0.6</v>
      </c>
      <c r="R722" s="136">
        <v>1</v>
      </c>
      <c r="S722" s="40">
        <f>IF(OR(H722="T",H722="C"),T722,IF(H722="F",(V722/(1+(V722/T722)))*Q722^(1/(1+(LOG10(V722/T722)^2))),IF(H722="S1",T722+V722,IF(H722="S2",T722+(V722/(1+(V722/#REF!))),""))))</f>
        <v>4.970511784400202E-11</v>
      </c>
      <c r="T722" s="40">
        <f t="shared" si="53"/>
        <v>2.2E-10</v>
      </c>
      <c r="U722" s="15">
        <f t="shared" si="54"/>
        <v>0</v>
      </c>
      <c r="V722" s="40">
        <f>W722*V$3*7.3395E+21/T$4</f>
        <v>1.27218E-10</v>
      </c>
      <c r="W722" s="40">
        <f>N722*EXP(-O722/T$4)*(T$4/300)^P722</f>
        <v>5.2E-30</v>
      </c>
      <c r="X722" s="15">
        <f>O722*Rfac</f>
        <v>0</v>
      </c>
      <c r="Y722" s="15"/>
    </row>
    <row r="723" spans="4:25" ht="15">
      <c r="D723" s="104" t="str">
        <f>IF(H722="F","0: ",H722)</f>
        <v>0: </v>
      </c>
      <c r="E723" s="100">
        <f>N722</f>
        <v>5.2E-30</v>
      </c>
      <c r="F723" s="101">
        <f>X722</f>
        <v>0</v>
      </c>
      <c r="G723" s="101">
        <f>P722</f>
        <v>-2.4</v>
      </c>
      <c r="K723" s="116"/>
      <c r="L723" s="120"/>
      <c r="M723" s="118"/>
      <c r="N723" s="116"/>
      <c r="O723" s="120"/>
      <c r="P723" s="118"/>
      <c r="Q723" s="117"/>
      <c r="R723" s="136"/>
      <c r="S723" s="40"/>
      <c r="T723" s="40"/>
      <c r="U723" s="15"/>
      <c r="V723" s="40"/>
      <c r="W723" s="40"/>
      <c r="X723" s="15"/>
      <c r="Y723" s="15"/>
    </row>
    <row r="724" spans="4:25" ht="15">
      <c r="D724" s="104" t="str">
        <f>IF(H722="F","inf: ",H722)</f>
        <v>inf: </v>
      </c>
      <c r="E724" s="100">
        <f>K722</f>
        <v>2.2E-10</v>
      </c>
      <c r="F724" s="101">
        <f>U722</f>
        <v>0</v>
      </c>
      <c r="G724" s="101">
        <f>M722</f>
        <v>0</v>
      </c>
      <c r="K724" s="116"/>
      <c r="L724" s="120"/>
      <c r="M724" s="118"/>
      <c r="N724" s="116"/>
      <c r="O724" s="120"/>
      <c r="P724" s="118"/>
      <c r="Q724" s="117"/>
      <c r="R724" s="136"/>
      <c r="S724" s="40"/>
      <c r="T724" s="40"/>
      <c r="U724" s="15"/>
      <c r="V724" s="40"/>
      <c r="W724" s="40"/>
      <c r="X724" s="15"/>
      <c r="Y724" s="15"/>
    </row>
    <row r="725" spans="2:25" ht="38.25">
      <c r="B725" s="49" t="s">
        <v>619</v>
      </c>
      <c r="C725" s="14" t="s">
        <v>1359</v>
      </c>
      <c r="D725" s="100">
        <f aca="true" t="shared" si="55" ref="D725:D730">IF(OR(H725="T",H725="C"),S725,H725)</f>
        <v>6.2E-11</v>
      </c>
      <c r="E725" s="100">
        <f aca="true" t="shared" si="56" ref="E725:E730">IF(H725="C","",K725)</f>
      </c>
      <c r="F725" s="101">
        <f aca="true" t="shared" si="57" ref="F725:F730">IF(H725="C","",U725)</f>
      </c>
      <c r="G725" s="99"/>
      <c r="H725" s="39" t="s">
        <v>1851</v>
      </c>
      <c r="K725" s="116">
        <v>6.2E-11</v>
      </c>
      <c r="L725" s="120"/>
      <c r="M725" s="118"/>
      <c r="N725" s="116"/>
      <c r="O725" s="120"/>
      <c r="P725" s="118"/>
      <c r="Q725" s="117"/>
      <c r="R725" s="136"/>
      <c r="S725" s="40">
        <f>IF(OR(H725="T",H725="C"),T725,IF(H725="F",(V725/(1+(V725/T725)))*Q725^(1/(1+(LOG10(V725/T725)^2))),IF(H725="S1",T725+V725,IF(H725="S2",T725+(V725/(1+(V725/#REF!))),""))))</f>
        <v>6.2E-11</v>
      </c>
      <c r="T725" s="40">
        <f aca="true" t="shared" si="58" ref="T725:T730">K725*EXP(-L725/T$4)*((T$4/300)^M725)</f>
        <v>6.2E-11</v>
      </c>
      <c r="U725" s="15">
        <f aca="true" t="shared" si="59" ref="U725:U730">L725*Rfac</f>
        <v>0</v>
      </c>
      <c r="V725" s="40"/>
      <c r="W725" s="40"/>
      <c r="X725" s="15"/>
      <c r="Y725" s="15"/>
    </row>
    <row r="726" spans="2:25" ht="38.25">
      <c r="B726" s="49" t="s">
        <v>620</v>
      </c>
      <c r="C726" s="14" t="s">
        <v>1360</v>
      </c>
      <c r="D726" s="100">
        <f t="shared" si="55"/>
        <v>1.35E-10</v>
      </c>
      <c r="E726" s="100">
        <f t="shared" si="56"/>
      </c>
      <c r="F726" s="101">
        <f t="shared" si="57"/>
      </c>
      <c r="G726" s="99"/>
      <c r="H726" s="39" t="s">
        <v>1851</v>
      </c>
      <c r="K726" s="116">
        <v>1.35E-10</v>
      </c>
      <c r="L726" s="120"/>
      <c r="M726" s="118"/>
      <c r="N726" s="116"/>
      <c r="O726" s="120"/>
      <c r="P726" s="118"/>
      <c r="Q726" s="117"/>
      <c r="R726" s="136"/>
      <c r="S726" s="40">
        <f>IF(OR(H726="T",H726="C"),T726,IF(H726="F",(V726/(1+(V726/T726)))*Q726^(1/(1+(LOG10(V726/T726)^2))),IF(H726="S1",T726+V726,IF(H726="S2",T726+(V726/(1+(V726/#REF!))),""))))</f>
        <v>1.35E-10</v>
      </c>
      <c r="T726" s="40">
        <f t="shared" si="58"/>
        <v>1.35E-10</v>
      </c>
      <c r="U726" s="15">
        <f t="shared" si="59"/>
        <v>0</v>
      </c>
      <c r="V726" s="40"/>
      <c r="W726" s="40"/>
      <c r="X726" s="15"/>
      <c r="Y726" s="15"/>
    </row>
    <row r="727" spans="2:25" ht="38.25">
      <c r="B727" s="49" t="s">
        <v>621</v>
      </c>
      <c r="C727" s="14" t="s">
        <v>1361</v>
      </c>
      <c r="D727" s="100">
        <f t="shared" si="55"/>
        <v>1.4E-10</v>
      </c>
      <c r="E727" s="100">
        <f t="shared" si="56"/>
      </c>
      <c r="F727" s="101">
        <f t="shared" si="57"/>
      </c>
      <c r="G727" s="99"/>
      <c r="H727" s="39" t="s">
        <v>1851</v>
      </c>
      <c r="K727" s="116">
        <v>1.4E-10</v>
      </c>
      <c r="L727" s="120"/>
      <c r="M727" s="118"/>
      <c r="N727" s="116"/>
      <c r="O727" s="120"/>
      <c r="P727" s="118"/>
      <c r="Q727" s="117"/>
      <c r="R727" s="136"/>
      <c r="S727" s="40">
        <f>IF(OR(H727="T",H727="C"),T727,IF(H727="F",(V727/(1+(V727/T727)))*Q727^(1/(1+(LOG10(V727/T727)^2))),IF(H727="S1",T727+V727,IF(H727="S2",T727+(V727/(1+(V727/#REF!))),""))))</f>
        <v>1.4E-10</v>
      </c>
      <c r="T727" s="40">
        <f t="shared" si="58"/>
        <v>1.4E-10</v>
      </c>
      <c r="U727" s="15">
        <f t="shared" si="59"/>
        <v>0</v>
      </c>
      <c r="V727" s="40"/>
      <c r="W727" s="40"/>
      <c r="X727" s="15"/>
      <c r="Y727" s="15"/>
    </row>
    <row r="728" spans="2:25" ht="38.25">
      <c r="B728" s="49" t="s">
        <v>622</v>
      </c>
      <c r="C728" s="14" t="s">
        <v>1362</v>
      </c>
      <c r="D728" s="100">
        <f t="shared" si="55"/>
        <v>1.44E-10</v>
      </c>
      <c r="E728" s="100">
        <f t="shared" si="56"/>
      </c>
      <c r="F728" s="101">
        <f t="shared" si="57"/>
      </c>
      <c r="G728" s="99"/>
      <c r="H728" s="39" t="s">
        <v>1851</v>
      </c>
      <c r="K728" s="116">
        <v>1.44E-10</v>
      </c>
      <c r="L728" s="120"/>
      <c r="M728" s="118"/>
      <c r="N728" s="116"/>
      <c r="O728" s="120"/>
      <c r="P728" s="118"/>
      <c r="Q728" s="117"/>
      <c r="R728" s="136"/>
      <c r="S728" s="40">
        <f>IF(OR(H728="T",H728="C"),T728,IF(H728="F",(V728/(1+(V728/T728)))*Q728^(1/(1+(LOG10(V728/T728)^2))),IF(H728="S1",T728+V728,IF(H728="S2",T728+(V728/(1+(V728/#REF!))),""))))</f>
        <v>1.44E-10</v>
      </c>
      <c r="T728" s="40">
        <f t="shared" si="58"/>
        <v>1.44E-10</v>
      </c>
      <c r="U728" s="15">
        <f t="shared" si="59"/>
        <v>0</v>
      </c>
      <c r="V728" s="40"/>
      <c r="W728" s="40"/>
      <c r="X728" s="15"/>
      <c r="Y728" s="15"/>
    </row>
    <row r="729" spans="2:25" ht="38.25">
      <c r="B729" s="49" t="s">
        <v>623</v>
      </c>
      <c r="C729" s="14" t="s">
        <v>1363</v>
      </c>
      <c r="D729" s="100">
        <f t="shared" si="55"/>
        <v>2.42E-10</v>
      </c>
      <c r="E729" s="100">
        <f t="shared" si="56"/>
      </c>
      <c r="F729" s="101">
        <f t="shared" si="57"/>
      </c>
      <c r="G729" s="99"/>
      <c r="H729" s="39" t="s">
        <v>1851</v>
      </c>
      <c r="K729" s="116">
        <v>2.42E-10</v>
      </c>
      <c r="L729" s="120"/>
      <c r="M729" s="118"/>
      <c r="N729" s="116"/>
      <c r="O729" s="120"/>
      <c r="P729" s="118"/>
      <c r="Q729" s="117"/>
      <c r="R729" s="136"/>
      <c r="S729" s="40">
        <f>IF(OR(H729="T",H729="C"),T729,IF(H729="F",(V729/(1+(V729/T729)))*Q729^(1/(1+(LOG10(V729/T729)^2))),IF(H729="S1",T729+V729,IF(H729="S2",T729+(V729/(1+(V729/#REF!))),""))))</f>
        <v>2.42E-10</v>
      </c>
      <c r="T729" s="40">
        <f t="shared" si="58"/>
        <v>2.42E-10</v>
      </c>
      <c r="U729" s="15">
        <f t="shared" si="59"/>
        <v>0</v>
      </c>
      <c r="V729" s="40"/>
      <c r="W729" s="40"/>
      <c r="X729" s="15"/>
      <c r="Y729" s="15"/>
    </row>
    <row r="730" spans="2:25" ht="51">
      <c r="B730" s="49" t="s">
        <v>624</v>
      </c>
      <c r="C730" s="14" t="s">
        <v>1026</v>
      </c>
      <c r="D730" s="100">
        <f t="shared" si="55"/>
        <v>9.991774487463234E-11</v>
      </c>
      <c r="E730" s="100">
        <f t="shared" si="56"/>
        <v>8.6E-11</v>
      </c>
      <c r="F730" s="101">
        <f t="shared" si="57"/>
        <v>-0.089424</v>
      </c>
      <c r="G730" s="108"/>
      <c r="H730" s="39" t="s">
        <v>1859</v>
      </c>
      <c r="K730" s="116">
        <v>8.6E-11</v>
      </c>
      <c r="L730" s="120">
        <v>-45</v>
      </c>
      <c r="M730" s="118">
        <v>0</v>
      </c>
      <c r="N730" s="116"/>
      <c r="O730" s="120"/>
      <c r="P730" s="118"/>
      <c r="Q730" s="117"/>
      <c r="R730" s="136"/>
      <c r="S730" s="40">
        <f>IF(OR(H730="T",H730="C"),T730,IF(H730="F",(V730/(1+(V730/T730)))*Q730^(1/(1+(LOG10(V730/T730)^2))),IF(H730="S1",T730+V730,IF(H730="S2",T730+(V730/(1+(V730/#REF!))),""))))</f>
        <v>9.991774487463234E-11</v>
      </c>
      <c r="T730" s="40">
        <f t="shared" si="58"/>
        <v>9.991774487463234E-11</v>
      </c>
      <c r="U730" s="15">
        <f t="shared" si="59"/>
        <v>-0.089424</v>
      </c>
      <c r="V730" s="40"/>
      <c r="W730" s="40"/>
      <c r="X730" s="15"/>
      <c r="Y730" s="15"/>
    </row>
    <row r="731" spans="1:25" ht="15">
      <c r="A731" s="13" t="s">
        <v>1060</v>
      </c>
      <c r="D731" s="100"/>
      <c r="E731" s="100"/>
      <c r="F731" s="101"/>
      <c r="G731" s="101"/>
      <c r="K731" s="116"/>
      <c r="M731" s="117"/>
      <c r="N731" s="116"/>
      <c r="O731" s="117"/>
      <c r="P731" s="118"/>
      <c r="Q731" s="117"/>
      <c r="S731" s="40"/>
      <c r="T731" s="40"/>
      <c r="U731" s="117"/>
      <c r="V731" s="116"/>
      <c r="W731" s="116"/>
      <c r="X731" s="117"/>
      <c r="Y731" s="117"/>
    </row>
    <row r="732" spans="2:25" ht="25.5">
      <c r="B732" s="49" t="s">
        <v>625</v>
      </c>
      <c r="C732" s="14" t="s">
        <v>1041</v>
      </c>
      <c r="D732" s="100">
        <f aca="true" t="shared" si="60" ref="D732:D741">IF(OR(H732="T",H732="C"),S732,H732)</f>
        <v>5.94720987776245E-11</v>
      </c>
      <c r="E732" s="100">
        <f aca="true" t="shared" si="61" ref="E732:E741">IF(H732="C","",K732)</f>
        <v>8.3E-11</v>
      </c>
      <c r="F732" s="101">
        <f aca="true" t="shared" si="62" ref="F732:F741">IF(H732="C","",U732)</f>
        <v>0.19872</v>
      </c>
      <c r="G732" s="108"/>
      <c r="H732" s="39" t="s">
        <v>1859</v>
      </c>
      <c r="J732" s="42"/>
      <c r="K732" s="132">
        <v>8.3E-11</v>
      </c>
      <c r="L732" s="133">
        <v>100</v>
      </c>
      <c r="M732" s="134"/>
      <c r="N732" s="132"/>
      <c r="O732" s="134"/>
      <c r="P732" s="135"/>
      <c r="Q732" s="134"/>
      <c r="R732" s="43"/>
      <c r="S732" s="40">
        <f>IF(OR(H732="T",H732="C"),T732,IF(H732="F",(V732/(1+(V732/T732)))*Q732^(1/(1+((LOG10(V732/T732)/R732)^2))),IF(H732="S1",T732+V732,IF(H732="S2",T732+(V732/(1+(V732/T602))),""))))</f>
        <v>5.94720987776245E-11</v>
      </c>
      <c r="T732" s="40">
        <f aca="true" t="shared" si="63" ref="T732:T737">K732*EXP(-L732/T$4)*((T$4/300)^M732)</f>
        <v>5.94720987776245E-11</v>
      </c>
      <c r="U732" s="15">
        <f aca="true" t="shared" si="64" ref="U732:U737">L732*Rfac</f>
        <v>0.19872</v>
      </c>
      <c r="V732" s="132"/>
      <c r="W732" s="132"/>
      <c r="X732" s="134"/>
      <c r="Y732" s="134"/>
    </row>
    <row r="733" spans="2:25" ht="38.25">
      <c r="B733" s="49" t="s">
        <v>626</v>
      </c>
      <c r="C733" s="14" t="s">
        <v>1042</v>
      </c>
      <c r="D733" s="100">
        <f t="shared" si="60"/>
        <v>1.3711569741548673E-10</v>
      </c>
      <c r="E733" s="100">
        <f t="shared" si="61"/>
        <v>1.2E-10</v>
      </c>
      <c r="F733" s="101">
        <f t="shared" si="62"/>
        <v>-0.079488</v>
      </c>
      <c r="G733" s="108"/>
      <c r="H733" s="39" t="s">
        <v>1859</v>
      </c>
      <c r="J733" s="42"/>
      <c r="K733" s="132">
        <v>1.2E-10</v>
      </c>
      <c r="L733" s="133">
        <v>-40</v>
      </c>
      <c r="M733" s="134">
        <v>0</v>
      </c>
      <c r="N733" s="132"/>
      <c r="O733" s="134"/>
      <c r="P733" s="135"/>
      <c r="Q733" s="134"/>
      <c r="R733" s="43"/>
      <c r="S733" s="40">
        <f>IF(OR(H733="T",H733="C"),T733,IF(H733="F",(V733/(1+(V733/T733)))*Q733^(1/(1+((LOG10(V733/T733)/R733)^2))),IF(H733="S1",T733+V733,IF(H733="S2",T733+(V733/(1+(V733/T732))),""))))</f>
        <v>1.3711569741548673E-10</v>
      </c>
      <c r="T733" s="40">
        <f t="shared" si="63"/>
        <v>1.3711569741548673E-10</v>
      </c>
      <c r="U733" s="15">
        <f t="shared" si="64"/>
        <v>-0.079488</v>
      </c>
      <c r="V733" s="132"/>
      <c r="W733" s="132"/>
      <c r="X733" s="134"/>
      <c r="Y733" s="134"/>
    </row>
    <row r="734" spans="2:25" ht="63.75">
      <c r="B734" s="49" t="s">
        <v>627</v>
      </c>
      <c r="C734" s="14" t="s">
        <v>1043</v>
      </c>
      <c r="D734" s="100">
        <f t="shared" si="60"/>
        <v>1.8634499808927688E-10</v>
      </c>
      <c r="E734" s="100">
        <f t="shared" si="61"/>
      </c>
      <c r="F734" s="101">
        <f t="shared" si="62"/>
      </c>
      <c r="G734" s="108"/>
      <c r="H734" s="39" t="s">
        <v>1851</v>
      </c>
      <c r="J734" s="42"/>
      <c r="K734" s="132">
        <v>1.8634499808927688E-10</v>
      </c>
      <c r="L734" s="133"/>
      <c r="M734" s="134"/>
      <c r="N734" s="132"/>
      <c r="O734" s="134"/>
      <c r="P734" s="135"/>
      <c r="Q734" s="134"/>
      <c r="R734" s="43"/>
      <c r="S734" s="40">
        <f>IF(OR(H734="T",H734="C"),T734,IF(H734="F",(V734/(1+(V734/T734)))*Q734^(1/(1+((LOG10(V734/T734)/R734)^2))),IF(H734="S1",T734+V734,IF(H734="S2",T734+(V734/(1+(V734/T605))),""))))</f>
        <v>1.8634499808927688E-10</v>
      </c>
      <c r="T734" s="40">
        <f t="shared" si="63"/>
        <v>1.8634499808927688E-10</v>
      </c>
      <c r="U734" s="15">
        <f t="shared" si="64"/>
        <v>0</v>
      </c>
      <c r="V734" s="132"/>
      <c r="W734" s="132"/>
      <c r="X734" s="134"/>
      <c r="Y734" s="134"/>
    </row>
    <row r="735" spans="2:25" ht="76.5">
      <c r="B735" s="49" t="s">
        <v>628</v>
      </c>
      <c r="C735" s="14" t="s">
        <v>1044</v>
      </c>
      <c r="D735" s="100">
        <f t="shared" si="60"/>
        <v>2.625090068629717E-10</v>
      </c>
      <c r="E735" s="100">
        <f t="shared" si="61"/>
      </c>
      <c r="F735" s="101">
        <f t="shared" si="62"/>
      </c>
      <c r="G735" s="108"/>
      <c r="H735" s="39" t="s">
        <v>1851</v>
      </c>
      <c r="J735" s="42"/>
      <c r="K735" s="132">
        <v>2.625090068629717E-10</v>
      </c>
      <c r="L735" s="133"/>
      <c r="M735" s="134"/>
      <c r="N735" s="132"/>
      <c r="O735" s="134"/>
      <c r="P735" s="135"/>
      <c r="Q735" s="134"/>
      <c r="R735" s="43"/>
      <c r="S735" s="40">
        <f>IF(OR(H735="T",H735="C"),T735,IF(H735="F",(V735/(1+(V735/T735)))*Q735^(1/(1+((LOG10(V735/T735)/R735)^2))),IF(H735="S1",T735+V735,IF(H735="S2",T735+(V735/(1+(V735/T606))),""))))</f>
        <v>2.625090068629717E-10</v>
      </c>
      <c r="T735" s="40">
        <f t="shared" si="63"/>
        <v>2.625090068629717E-10</v>
      </c>
      <c r="U735" s="15">
        <f t="shared" si="64"/>
        <v>0</v>
      </c>
      <c r="V735" s="132"/>
      <c r="W735" s="132"/>
      <c r="X735" s="134"/>
      <c r="Y735" s="134"/>
    </row>
    <row r="736" spans="2:25" ht="63.75">
      <c r="B736" s="49" t="s">
        <v>629</v>
      </c>
      <c r="C736" s="14" t="s">
        <v>1045</v>
      </c>
      <c r="D736" s="100">
        <f t="shared" si="60"/>
        <v>4.206142605239641E-10</v>
      </c>
      <c r="E736" s="100">
        <f t="shared" si="61"/>
      </c>
      <c r="F736" s="101">
        <f t="shared" si="62"/>
      </c>
      <c r="G736" s="108"/>
      <c r="H736" s="39" t="s">
        <v>1851</v>
      </c>
      <c r="J736" s="42"/>
      <c r="K736" s="132">
        <v>4.206142605239641E-10</v>
      </c>
      <c r="L736" s="133"/>
      <c r="M736" s="134"/>
      <c r="N736" s="132"/>
      <c r="O736" s="134"/>
      <c r="P736" s="135"/>
      <c r="Q736" s="134"/>
      <c r="R736" s="43"/>
      <c r="S736" s="40">
        <f>IF(OR(H736="T",H736="C"),T736,IF(H736="F",(V736/(1+(V736/T736)))*Q736^(1/(1+((LOG10(V736/T736)/R736)^2))),IF(H736="S1",T736+V736,IF(H736="S2",T736+(V736/(1+(V736/#REF!))),""))))</f>
        <v>4.206142605239641E-10</v>
      </c>
      <c r="T736" s="40">
        <f t="shared" si="63"/>
        <v>4.206142605239641E-10</v>
      </c>
      <c r="U736" s="15">
        <f t="shared" si="64"/>
        <v>0</v>
      </c>
      <c r="V736" s="132"/>
      <c r="W736" s="132"/>
      <c r="X736" s="134"/>
      <c r="Y736" s="134"/>
    </row>
    <row r="737" spans="2:25" ht="89.25">
      <c r="B737" s="49" t="s">
        <v>630</v>
      </c>
      <c r="C737" s="14" t="s">
        <v>1053</v>
      </c>
      <c r="D737" s="100">
        <f t="shared" si="60"/>
        <v>3.9168537665313105E-10</v>
      </c>
      <c r="E737" s="100">
        <f t="shared" si="61"/>
      </c>
      <c r="F737" s="101">
        <f t="shared" si="62"/>
      </c>
      <c r="G737" s="108"/>
      <c r="H737" s="39" t="s">
        <v>1851</v>
      </c>
      <c r="K737" s="116">
        <v>3.9168537665313105E-10</v>
      </c>
      <c r="L737" s="120"/>
      <c r="M737" s="117"/>
      <c r="N737" s="116"/>
      <c r="O737" s="117"/>
      <c r="P737" s="118"/>
      <c r="Q737" s="117"/>
      <c r="S737" s="40">
        <f>IF(OR(H737="T",H737="C"),T737,IF(H737="F",(V737/(1+(V737/T737)))*Q737^(1/(1+((LOG10(V737/T737)/R737)^2))),IF(H737="S1",T737+V737,IF(H737="S2",T737+(V737/(1+(V737/#REF!))),""))))</f>
        <v>3.9168537665313105E-10</v>
      </c>
      <c r="T737" s="40">
        <f t="shared" si="63"/>
        <v>3.9168537665313105E-10</v>
      </c>
      <c r="U737" s="15">
        <f t="shared" si="64"/>
        <v>0</v>
      </c>
      <c r="V737" s="116"/>
      <c r="W737" s="116"/>
      <c r="X737" s="117"/>
      <c r="Y737" s="117"/>
    </row>
    <row r="738" spans="2:25" ht="102">
      <c r="B738" s="49" t="s">
        <v>631</v>
      </c>
      <c r="C738" s="14" t="s">
        <v>1054</v>
      </c>
      <c r="D738" s="100">
        <f t="shared" si="60"/>
        <v>3.7697478470820894E-10</v>
      </c>
      <c r="E738" s="100">
        <f t="shared" si="61"/>
      </c>
      <c r="F738" s="101">
        <f t="shared" si="62"/>
      </c>
      <c r="G738" s="108"/>
      <c r="H738" s="39" t="s">
        <v>1851</v>
      </c>
      <c r="K738" s="116">
        <v>3.7697478470820894E-10</v>
      </c>
      <c r="L738" s="120"/>
      <c r="M738" s="117"/>
      <c r="N738" s="116"/>
      <c r="O738" s="117"/>
      <c r="P738" s="118"/>
      <c r="Q738" s="117"/>
      <c r="S738" s="40">
        <f>IF(OR(H738="T",H738="C"),T738,IF(H738="F",(V738/(1+(V738/T738)))*Q738^(1/(1+((LOG10(V738/T738)/R738)^2))),IF(H738="S1",T738+V738,IF(H738="S2",T738+(V738/(1+(V738/#REF!))),""))))</f>
        <v>3.7697478470820894E-10</v>
      </c>
      <c r="T738" s="40">
        <f>K738*EXP(-L738/T$4)*((T$4/300)^M738)</f>
        <v>3.7697478470820894E-10</v>
      </c>
      <c r="U738" s="15">
        <f>L738*Rfac</f>
        <v>0</v>
      </c>
      <c r="V738" s="116"/>
      <c r="W738" s="116"/>
      <c r="X738" s="117"/>
      <c r="Y738" s="117"/>
    </row>
    <row r="739" spans="2:25" ht="25.5">
      <c r="B739" s="49" t="s">
        <v>632</v>
      </c>
      <c r="C739" s="14" t="s">
        <v>1055</v>
      </c>
      <c r="D739" s="100">
        <f t="shared" si="60"/>
        <v>2.161488431618167E-10</v>
      </c>
      <c r="E739" s="100">
        <f t="shared" si="61"/>
      </c>
      <c r="F739" s="101">
        <f t="shared" si="62"/>
      </c>
      <c r="G739" s="108"/>
      <c r="H739" s="39" t="s">
        <v>1851</v>
      </c>
      <c r="J739" s="42"/>
      <c r="K739" s="132">
        <v>2.161488431618167E-10</v>
      </c>
      <c r="L739" s="133"/>
      <c r="M739" s="134"/>
      <c r="N739" s="132"/>
      <c r="O739" s="134"/>
      <c r="P739" s="135"/>
      <c r="Q739" s="134"/>
      <c r="R739" s="43"/>
      <c r="S739" s="40">
        <f>IF(OR(H739="T",H739="C"),T739,IF(H739="F",(V739/(1+(V739/T739)))*Q739^(1/(1+((LOG10(V739/T739)/R739)^2))),IF(H739="S1",T739+V739,IF(H739="S2",T739+(V739/(1+(V739/T616))),""))))</f>
        <v>2.161488431618167E-10</v>
      </c>
      <c r="T739" s="40">
        <f>K739*EXP(-L739/T$4)*((T$4/300)^M739)</f>
        <v>2.161488431618167E-10</v>
      </c>
      <c r="U739" s="15">
        <f>L739*Rfac</f>
        <v>0</v>
      </c>
      <c r="V739" s="132"/>
      <c r="W739" s="132"/>
      <c r="X739" s="134"/>
      <c r="Y739" s="134"/>
    </row>
    <row r="740" spans="2:25" ht="38.25">
      <c r="B740" s="49" t="s">
        <v>633</v>
      </c>
      <c r="C740" s="14" t="s">
        <v>1056</v>
      </c>
      <c r="D740" s="100">
        <f t="shared" si="60"/>
        <v>2.6591821799051507E-10</v>
      </c>
      <c r="E740" s="100">
        <f t="shared" si="61"/>
      </c>
      <c r="F740" s="101">
        <f t="shared" si="62"/>
      </c>
      <c r="G740" s="108"/>
      <c r="H740" s="39" t="s">
        <v>1851</v>
      </c>
      <c r="K740" s="116">
        <v>2.6591821799051507E-10</v>
      </c>
      <c r="L740" s="120"/>
      <c r="M740" s="117"/>
      <c r="N740" s="116"/>
      <c r="O740" s="117"/>
      <c r="P740" s="118"/>
      <c r="Q740" s="117"/>
      <c r="S740" s="40">
        <f>IF(OR(H740="T",H740="C"),T740,IF(H740="F",(V740/(1+(V740/T740)))*Q740^(1/(1+((LOG10(V740/T740)/R740)^2))),IF(H740="S1",T740+V740,IF(H740="S2",T740+(V740/(1+(V740/#REF!))),""))))</f>
        <v>2.6591821799051507E-10</v>
      </c>
      <c r="T740" s="40">
        <f>K740*EXP(-L740/T$4)*((T$4/300)^M740)</f>
        <v>2.6591821799051507E-10</v>
      </c>
      <c r="U740" s="15">
        <f>L740*Rfac</f>
        <v>0</v>
      </c>
      <c r="V740" s="116"/>
      <c r="W740" s="116"/>
      <c r="X740" s="117"/>
      <c r="Y740" s="117"/>
    </row>
    <row r="741" spans="2:25" ht="114.75">
      <c r="B741" s="49" t="s">
        <v>634</v>
      </c>
      <c r="C741" s="14" t="s">
        <v>1057</v>
      </c>
      <c r="D741" s="100">
        <f t="shared" si="60"/>
        <v>5.463270287327929E-10</v>
      </c>
      <c r="E741" s="100">
        <f t="shared" si="61"/>
      </c>
      <c r="F741" s="101">
        <f t="shared" si="62"/>
      </c>
      <c r="G741" s="108"/>
      <c r="H741" s="39" t="s">
        <v>1851</v>
      </c>
      <c r="K741" s="116">
        <v>5.463270287327929E-10</v>
      </c>
      <c r="L741" s="120"/>
      <c r="M741" s="117"/>
      <c r="N741" s="116"/>
      <c r="O741" s="117"/>
      <c r="P741" s="118"/>
      <c r="Q741" s="117"/>
      <c r="S741" s="40">
        <f>IF(OR(H741="T",H741="C"),T741,IF(H741="F",(V741/(1+(V741/T741)))*Q741^(1/(1+((LOG10(V741/T741)/R741)^2))),IF(H741="S1",T741+V741,IF(H741="S2",T741+(V741/(1+(V741/T607))),""))))</f>
        <v>5.463270287327929E-10</v>
      </c>
      <c r="T741" s="40">
        <f>K741*EXP(-L741/T$4)*((T$4/300)^M741)</f>
        <v>5.463270287327929E-10</v>
      </c>
      <c r="U741" s="15">
        <f>L741*Rfac</f>
        <v>0</v>
      </c>
      <c r="V741" s="116"/>
      <c r="W741" s="116"/>
      <c r="X741" s="117"/>
      <c r="Y741" s="117"/>
    </row>
    <row r="742" spans="2:25" ht="114.75">
      <c r="B742" s="49" t="s">
        <v>635</v>
      </c>
      <c r="C742" s="14" t="s">
        <v>1394</v>
      </c>
      <c r="D742" s="97" t="str">
        <f>IF(H742="S",CONCATENATE("Same k as rxn ",I742),H742)</f>
        <v>Same k as rxn BC10</v>
      </c>
      <c r="E742" s="98"/>
      <c r="F742" s="98"/>
      <c r="G742" s="99"/>
      <c r="H742" s="39" t="s">
        <v>56</v>
      </c>
      <c r="I742" s="142" t="str">
        <f>$B$741</f>
        <v>BC10</v>
      </c>
      <c r="K742" s="116"/>
      <c r="L742" s="120"/>
      <c r="M742" s="117"/>
      <c r="N742" s="116"/>
      <c r="O742" s="117"/>
      <c r="P742" s="118"/>
      <c r="Q742" s="117"/>
      <c r="S742" s="40"/>
      <c r="T742" s="40"/>
      <c r="U742" s="15"/>
      <c r="V742" s="116"/>
      <c r="W742" s="116"/>
      <c r="X742" s="117"/>
      <c r="Y742" s="117"/>
    </row>
    <row r="743" spans="4:7" ht="15">
      <c r="D743" s="97"/>
      <c r="E743" s="98"/>
      <c r="F743" s="98"/>
      <c r="G743" s="99"/>
    </row>
  </sheetData>
  <printOptions gridLines="1" horizontalCentered="1"/>
  <pageMargins left="1" right="1" top="1" bottom="1" header="0.5" footer="0.5"/>
  <pageSetup fitToHeight="1" fitToWidth="1" horizontalDpi="300" verticalDpi="300" orientation="portrait" r:id="rId1"/>
  <headerFooter alignWithMargins="0">
    <oddFooter>&amp;L&amp;F&amp;C&amp;A&amp;R&amp;D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William P. Carter</dc:creator>
  <cp:keywords/>
  <dc:description/>
  <cp:lastModifiedBy>William P. L. Carter</cp:lastModifiedBy>
  <cp:lastPrinted>1999-03-18T18:02:43Z</cp:lastPrinted>
  <dcterms:created xsi:type="dcterms:W3CDTF">1999-03-18T17:54:33Z</dcterms:created>
  <dcterms:modified xsi:type="dcterms:W3CDTF">2010-01-25T22:44:03Z</dcterms:modified>
  <cp:category/>
  <cp:version/>
  <cp:contentType/>
  <cp:contentStatus/>
</cp:coreProperties>
</file>